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S:\Procurement Services\Bid Records\2022 Bids\22-106 Underwriter for LOB\"/>
    </mc:Choice>
  </mc:AlternateContent>
  <xr:revisionPtr revIDLastSave="0" documentId="8_{ADE1CCD4-842B-4739-B8E6-F71362EE554B}" xr6:coauthVersionLast="47" xr6:coauthVersionMax="47" xr10:uidLastSave="{00000000-0000-0000-0000-000000000000}"/>
  <bookViews>
    <workbookView xWindow="380" yWindow="380" windowWidth="14400" windowHeight="7360" xr2:uid="{00000000-000D-0000-FFFF-FFFF00000000}"/>
  </bookViews>
  <sheets>
    <sheet name="Series 2023A - Interim Refi" sheetId="9" r:id="rId1"/>
    <sheet name="Series 2023B - Public Health" sheetId="10" r:id="rId2"/>
  </sheets>
  <definedNames>
    <definedName name="_xlnm.Print_Area" localSheetId="0">'Series 2023A - Interim Refi'!$B$1:$M$42</definedName>
    <definedName name="_xlnm.Print_Area" localSheetId="1">'Series 2023B - Public Health'!$B$1:$M$42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0" l="1"/>
  <c r="J34" i="10"/>
  <c r="I34" i="10"/>
  <c r="G34" i="10"/>
  <c r="H34" i="10" s="1"/>
  <c r="M34" i="10" s="1"/>
  <c r="J33" i="10"/>
  <c r="I33" i="10"/>
  <c r="G33" i="10"/>
  <c r="H33" i="10" s="1"/>
  <c r="M33" i="10" s="1"/>
  <c r="J32" i="10"/>
  <c r="I32" i="10"/>
  <c r="G32" i="10"/>
  <c r="H32" i="10" s="1"/>
  <c r="M32" i="10" s="1"/>
  <c r="J31" i="10"/>
  <c r="I31" i="10"/>
  <c r="G31" i="10"/>
  <c r="H31" i="10" s="1"/>
  <c r="M31" i="10" s="1"/>
  <c r="J30" i="10"/>
  <c r="I30" i="10"/>
  <c r="G30" i="10"/>
  <c r="H30" i="10" s="1"/>
  <c r="M30" i="10" s="1"/>
  <c r="J29" i="10"/>
  <c r="I29" i="10"/>
  <c r="G29" i="10"/>
  <c r="H29" i="10" s="1"/>
  <c r="M29" i="10" s="1"/>
  <c r="J28" i="10"/>
  <c r="I28" i="10"/>
  <c r="G28" i="10"/>
  <c r="H28" i="10" s="1"/>
  <c r="M28" i="10" s="1"/>
  <c r="J27" i="10"/>
  <c r="I27" i="10"/>
  <c r="G27" i="10"/>
  <c r="H27" i="10" s="1"/>
  <c r="M27" i="10" s="1"/>
  <c r="J26" i="10"/>
  <c r="I26" i="10"/>
  <c r="G26" i="10"/>
  <c r="H26" i="10" s="1"/>
  <c r="M26" i="10" s="1"/>
  <c r="J25" i="10"/>
  <c r="I25" i="10"/>
  <c r="G25" i="10"/>
  <c r="H25" i="10" s="1"/>
  <c r="M25" i="10" s="1"/>
  <c r="J24" i="10"/>
  <c r="I24" i="10"/>
  <c r="G24" i="10"/>
  <c r="H24" i="10" s="1"/>
  <c r="M24" i="10" s="1"/>
  <c r="J23" i="10"/>
  <c r="I23" i="10"/>
  <c r="G23" i="10"/>
  <c r="H23" i="10" s="1"/>
  <c r="M23" i="10" s="1"/>
  <c r="J22" i="10"/>
  <c r="I22" i="10"/>
  <c r="G22" i="10"/>
  <c r="H22" i="10" s="1"/>
  <c r="M22" i="10" s="1"/>
  <c r="J21" i="10"/>
  <c r="I21" i="10"/>
  <c r="G21" i="10"/>
  <c r="H21" i="10" s="1"/>
  <c r="M21" i="10" s="1"/>
  <c r="J20" i="10"/>
  <c r="I20" i="10"/>
  <c r="G20" i="10"/>
  <c r="H20" i="10" s="1"/>
  <c r="M20" i="10" s="1"/>
  <c r="J19" i="10"/>
  <c r="I19" i="10"/>
  <c r="G19" i="10"/>
  <c r="H19" i="10" s="1"/>
  <c r="M19" i="10" s="1"/>
  <c r="J18" i="10"/>
  <c r="I18" i="10"/>
  <c r="G18" i="10"/>
  <c r="H18" i="10" s="1"/>
  <c r="M18" i="10" s="1"/>
  <c r="L17" i="10"/>
  <c r="J17" i="10"/>
  <c r="I17" i="10"/>
  <c r="G17" i="10"/>
  <c r="H17" i="10" s="1"/>
  <c r="M17" i="10" s="1"/>
  <c r="B17" i="10"/>
  <c r="B18" i="10" s="1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M35" i="10" l="1"/>
  <c r="H35" i="10" s="1"/>
  <c r="L18" i="10"/>
  <c r="B19" i="10"/>
  <c r="K19" i="10" s="1"/>
  <c r="K17" i="10"/>
  <c r="K18" i="10"/>
  <c r="C35" i="9"/>
  <c r="B17" i="9"/>
  <c r="B18" i="9" s="1"/>
  <c r="B19" i="9" s="1"/>
  <c r="L19" i="10" l="1"/>
  <c r="B20" i="10"/>
  <c r="L17" i="9"/>
  <c r="K17" i="9"/>
  <c r="I17" i="9" s="1"/>
  <c r="J17" i="9" s="1"/>
  <c r="L18" i="9"/>
  <c r="B20" i="9"/>
  <c r="B21" i="9" s="1"/>
  <c r="B22" i="9" s="1"/>
  <c r="B23" i="9" s="1"/>
  <c r="B24" i="9" s="1"/>
  <c r="B25" i="9" s="1"/>
  <c r="L19" i="9"/>
  <c r="K19" i="9"/>
  <c r="I19" i="9" s="1"/>
  <c r="J19" i="9" s="1"/>
  <c r="K18" i="9"/>
  <c r="I18" i="9" s="1"/>
  <c r="J18" i="9" s="1"/>
  <c r="B21" i="10" l="1"/>
  <c r="L20" i="10"/>
  <c r="K20" i="10"/>
  <c r="L20" i="9"/>
  <c r="L21" i="9"/>
  <c r="H19" i="9"/>
  <c r="M19" i="9" s="1"/>
  <c r="H18" i="9"/>
  <c r="M18" i="9" s="1"/>
  <c r="H17" i="9"/>
  <c r="M17" i="9" s="1"/>
  <c r="B26" i="9"/>
  <c r="L25" i="9"/>
  <c r="L23" i="9"/>
  <c r="K20" i="9"/>
  <c r="K23" i="9"/>
  <c r="L24" i="9"/>
  <c r="K21" i="9"/>
  <c r="K25" i="9"/>
  <c r="K24" i="9"/>
  <c r="K22" i="9"/>
  <c r="H22" i="9" s="1"/>
  <c r="M22" i="9" s="1"/>
  <c r="L22" i="9"/>
  <c r="B22" i="10" l="1"/>
  <c r="L21" i="10"/>
  <c r="K21" i="10"/>
  <c r="I22" i="9"/>
  <c r="J22" i="9" s="1"/>
  <c r="I23" i="9"/>
  <c r="J23" i="9" s="1"/>
  <c r="H23" i="9"/>
  <c r="M23" i="9" s="1"/>
  <c r="I20" i="9"/>
  <c r="J20" i="9" s="1"/>
  <c r="H20" i="9"/>
  <c r="M20" i="9" s="1"/>
  <c r="I24" i="9"/>
  <c r="J24" i="9" s="1"/>
  <c r="H24" i="9"/>
  <c r="M24" i="9" s="1"/>
  <c r="I21" i="9"/>
  <c r="J21" i="9" s="1"/>
  <c r="H21" i="9"/>
  <c r="M21" i="9" s="1"/>
  <c r="H25" i="9"/>
  <c r="M25" i="9" s="1"/>
  <c r="B27" i="9"/>
  <c r="L26" i="9"/>
  <c r="K26" i="9"/>
  <c r="B23" i="10" l="1"/>
  <c r="K22" i="10"/>
  <c r="L22" i="10"/>
  <c r="I25" i="9"/>
  <c r="J25" i="9" s="1"/>
  <c r="H26" i="9"/>
  <c r="M26" i="9" s="1"/>
  <c r="B28" i="9"/>
  <c r="L27" i="9"/>
  <c r="K27" i="9"/>
  <c r="B24" i="10" l="1"/>
  <c r="L23" i="10"/>
  <c r="K23" i="10"/>
  <c r="I26" i="9"/>
  <c r="J26" i="9" s="1"/>
  <c r="H27" i="9"/>
  <c r="M27" i="9" s="1"/>
  <c r="B29" i="9"/>
  <c r="L28" i="9"/>
  <c r="K28" i="9"/>
  <c r="H28" i="9" s="1"/>
  <c r="M28" i="9" s="1"/>
  <c r="B25" i="10" l="1"/>
  <c r="K24" i="10"/>
  <c r="L24" i="10"/>
  <c r="I27" i="9"/>
  <c r="J27" i="9" s="1"/>
  <c r="I28" i="9"/>
  <c r="J28" i="9" s="1"/>
  <c r="B30" i="9"/>
  <c r="K29" i="9"/>
  <c r="H29" i="9" s="1"/>
  <c r="M29" i="9" s="1"/>
  <c r="L29" i="9"/>
  <c r="B26" i="10" l="1"/>
  <c r="K25" i="10"/>
  <c r="L25" i="10"/>
  <c r="I29" i="9"/>
  <c r="J29" i="9" s="1"/>
  <c r="B31" i="9"/>
  <c r="L30" i="9"/>
  <c r="K30" i="9"/>
  <c r="B27" i="10" l="1"/>
  <c r="L26" i="10"/>
  <c r="K26" i="10"/>
  <c r="H30" i="9"/>
  <c r="M30" i="9" s="1"/>
  <c r="B32" i="9"/>
  <c r="L31" i="9"/>
  <c r="K31" i="9"/>
  <c r="B28" i="10" l="1"/>
  <c r="L27" i="10"/>
  <c r="K27" i="10"/>
  <c r="H31" i="9"/>
  <c r="M31" i="9" s="1"/>
  <c r="I30" i="9"/>
  <c r="J30" i="9" s="1"/>
  <c r="B33" i="9"/>
  <c r="K32" i="9"/>
  <c r="L32" i="9"/>
  <c r="B29" i="10" l="1"/>
  <c r="L28" i="10"/>
  <c r="K28" i="10"/>
  <c r="H32" i="9"/>
  <c r="M32" i="9" s="1"/>
  <c r="I31" i="9"/>
  <c r="J31" i="9" s="1"/>
  <c r="B34" i="9"/>
  <c r="L33" i="9"/>
  <c r="K33" i="9"/>
  <c r="B30" i="10" l="1"/>
  <c r="L29" i="10"/>
  <c r="K29" i="10"/>
  <c r="H33" i="9"/>
  <c r="M33" i="9" s="1"/>
  <c r="I32" i="9"/>
  <c r="J32" i="9" s="1"/>
  <c r="K34" i="9"/>
  <c r="L34" i="9"/>
  <c r="B31" i="10" l="1"/>
  <c r="K30" i="10"/>
  <c r="L30" i="10"/>
  <c r="I33" i="9"/>
  <c r="J33" i="9" s="1"/>
  <c r="H34" i="9"/>
  <c r="M34" i="9" s="1"/>
  <c r="B32" i="10" l="1"/>
  <c r="K31" i="10"/>
  <c r="L31" i="10"/>
  <c r="I34" i="9"/>
  <c r="J34" i="9" s="1"/>
  <c r="B33" i="10" l="1"/>
  <c r="K32" i="10"/>
  <c r="L32" i="10"/>
  <c r="M35" i="9"/>
  <c r="H35" i="9" s="1"/>
  <c r="B34" i="10" l="1"/>
  <c r="K33" i="10"/>
  <c r="L33" i="10"/>
  <c r="L34" i="10" l="1"/>
  <c r="K34" i="10"/>
</calcChain>
</file>

<file path=xl/sharedStrings.xml><?xml version="1.0" encoding="utf-8"?>
<sst xmlns="http://schemas.openxmlformats.org/spreadsheetml/2006/main" count="54" uniqueCount="26">
  <si>
    <t>Maturity Date</t>
  </si>
  <si>
    <t>Principal</t>
  </si>
  <si>
    <t>Yield</t>
  </si>
  <si>
    <t>Call Date</t>
  </si>
  <si>
    <t>Call Premium</t>
  </si>
  <si>
    <t>YTM</t>
  </si>
  <si>
    <t>YTM Kick</t>
  </si>
  <si>
    <t>Premium (Discount)</t>
  </si>
  <si>
    <t>Dated Date</t>
  </si>
  <si>
    <t>First Principal</t>
  </si>
  <si>
    <t>Last Principal</t>
  </si>
  <si>
    <t>Price</t>
  </si>
  <si>
    <t>Total</t>
  </si>
  <si>
    <t>Rating</t>
  </si>
  <si>
    <t>Security</t>
  </si>
  <si>
    <t>Wake County, NC</t>
  </si>
  <si>
    <t>LOBs</t>
  </si>
  <si>
    <t>Aa1 / AA+ / AA+</t>
  </si>
  <si>
    <t>Indicates input by underwriter</t>
  </si>
  <si>
    <t>Limited Obligation Bonds, Series 2023A (Interim Refi)</t>
  </si>
  <si>
    <t>Limited Obligation Bonds, Series 2023B (Public Health Center)</t>
  </si>
  <si>
    <r>
      <rPr>
        <b/>
        <vertAlign val="superscript"/>
        <sz val="10"/>
        <color theme="1"/>
        <rFont val="Franklin Gothic Book"/>
        <family val="2"/>
      </rPr>
      <t>1</t>
    </r>
    <r>
      <rPr>
        <b/>
        <sz val="10"/>
        <color theme="1"/>
        <rFont val="Franklin Gothic Book"/>
        <family val="2"/>
      </rPr>
      <t xml:space="preserve"> For term bonds, only include the coupon, spread and yield for the final sinking fund year</t>
    </r>
  </si>
  <si>
    <r>
      <t>Coupon</t>
    </r>
    <r>
      <rPr>
        <vertAlign val="superscript"/>
        <sz val="10"/>
        <color theme="0"/>
        <rFont val="Franklin Gothic Book"/>
        <family val="2"/>
      </rPr>
      <t>1</t>
    </r>
  </si>
  <si>
    <r>
      <t>MMD (12/15/22)</t>
    </r>
    <r>
      <rPr>
        <vertAlign val="superscript"/>
        <sz val="10"/>
        <color theme="0"/>
        <rFont val="Franklin Gothic Book"/>
        <family val="2"/>
      </rPr>
      <t>2</t>
    </r>
  </si>
  <si>
    <r>
      <t>Spread (bps)</t>
    </r>
    <r>
      <rPr>
        <vertAlign val="superscript"/>
        <sz val="10"/>
        <color theme="0"/>
        <rFont val="Franklin Gothic Book"/>
        <family val="2"/>
      </rPr>
      <t>1</t>
    </r>
  </si>
  <si>
    <r>
      <rPr>
        <b/>
        <vertAlign val="superscript"/>
        <sz val="10"/>
        <color theme="1"/>
        <rFont val="Franklin Gothic Book"/>
        <family val="2"/>
      </rPr>
      <t>2</t>
    </r>
    <r>
      <rPr>
        <b/>
        <sz val="10"/>
        <color theme="1"/>
        <rFont val="Franklin Gothic Book"/>
        <family val="2"/>
      </rPr>
      <t xml:space="preserve"> Please use MMD as of close of business on December 15,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</si>
</sst>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m/d/yyyy;;&quot;-&quot;"/>
    <numFmt numFmtId="165" formatCode="_(* #,##0_);_(* \(#,##0\);_(* &quot;-&quot;??_);_(@_)"/>
    <numFmt numFmtId="166" formatCode="0.000%"/>
    <numFmt numFmtId="167" formatCode="_(* #,##0.000_);_(* \(#,##0.000\);_(* &quot;-&quot;??_);_(@_)"/>
    <numFmt numFmtId="168" formatCode="0.00%;;&quot;-&quot;"/>
    <numFmt numFmtId="169" formatCode="0.000%;;&quot;-&quot;"/>
    <numFmt numFmtId="170" formatCode="#,##0.00_);[Red]\(#,##0.00\);&quot;-         &quot;"/>
  </numFmts>
  <fonts count="8" x14ac:knownFonts="1">
    <font>
      <sz val="10"/>
      <color theme="1"/>
      <name val="Franklin Gothic Book"/>
      <family val="2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b/>
      <sz val="14"/>
      <color theme="1"/>
      <name val="Franklin Gothic Book"/>
      <family val="2"/>
    </font>
    <font>
      <b/>
      <sz val="10"/>
      <color rgb="FFC00000"/>
      <name val="Franklin Gothic Book"/>
      <family val="2"/>
    </font>
    <font>
      <b/>
      <sz val="10"/>
      <color theme="1"/>
      <name val="Franklin Gothic Book"/>
      <family val="2"/>
    </font>
    <font>
      <b/>
      <vertAlign val="superscript"/>
      <sz val="10"/>
      <color theme="1"/>
      <name val="Franklin Gothic Book"/>
      <family val="2"/>
    </font>
    <font>
      <vertAlign val="superscript"/>
      <sz val="10"/>
      <color theme="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43" fontId="0" fillId="0" borderId="0" xfId="1" applyFont="1"/>
    <xf numFmtId="165" fontId="0" fillId="0" borderId="0" xfId="1" applyNumberFormat="1" applyFont="1"/>
    <xf numFmtId="0" fontId="0" fillId="0" borderId="0" xfId="0" applyAlignment="1">
      <alignment horizontal="center"/>
    </xf>
    <xf numFmtId="166" fontId="0" fillId="0" borderId="0" xfId="2" applyNumberFormat="1" applyFont="1" applyAlignment="1">
      <alignment horizontal="center"/>
    </xf>
    <xf numFmtId="167" fontId="0" fillId="0" borderId="0" xfId="1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1" xfId="0" applyNumberFormat="1" applyBorder="1"/>
    <xf numFmtId="165" fontId="0" fillId="0" borderId="1" xfId="1" applyNumberFormat="1" applyFont="1" applyBorder="1"/>
    <xf numFmtId="166" fontId="0" fillId="0" borderId="1" xfId="2" applyNumberFormat="1" applyFont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43" fontId="0" fillId="0" borderId="1" xfId="1" applyFont="1" applyBorder="1"/>
    <xf numFmtId="168" fontId="0" fillId="0" borderId="1" xfId="0" applyNumberFormat="1" applyBorder="1" applyAlignment="1">
      <alignment horizontal="center"/>
    </xf>
    <xf numFmtId="43" fontId="0" fillId="0" borderId="0" xfId="0" applyNumberFormat="1"/>
    <xf numFmtId="169" fontId="0" fillId="0" borderId="0" xfId="0" applyNumberFormat="1" applyAlignment="1">
      <alignment horizontal="center"/>
    </xf>
    <xf numFmtId="169" fontId="0" fillId="0" borderId="0" xfId="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0" fontId="0" fillId="0" borderId="4" xfId="0" applyBorder="1"/>
    <xf numFmtId="0" fontId="0" fillId="0" borderId="5" xfId="0" applyBorder="1"/>
    <xf numFmtId="14" fontId="0" fillId="0" borderId="5" xfId="0" applyNumberFormat="1" applyBorder="1"/>
    <xf numFmtId="0" fontId="2" fillId="2" borderId="6" xfId="0" applyFont="1" applyFill="1" applyBorder="1" applyAlignment="1">
      <alignment horizontal="center" wrapText="1"/>
    </xf>
    <xf numFmtId="0" fontId="2" fillId="2" borderId="6" xfId="0" quotePrefix="1" applyFont="1" applyFill="1" applyBorder="1" applyAlignment="1">
      <alignment horizontal="center" wrapText="1"/>
    </xf>
    <xf numFmtId="43" fontId="0" fillId="0" borderId="0" xfId="1" applyFont="1" applyAlignment="1">
      <alignment horizontal="center"/>
    </xf>
    <xf numFmtId="0" fontId="0" fillId="0" borderId="0" xfId="0" quotePrefix="1" applyAlignment="1">
      <alignment horizontal="left"/>
    </xf>
    <xf numFmtId="0" fontId="0" fillId="0" borderId="4" xfId="0" quotePrefix="1" applyBorder="1" applyAlignment="1">
      <alignment horizontal="right"/>
    </xf>
    <xf numFmtId="164" fontId="0" fillId="0" borderId="0" xfId="1" applyNumberFormat="1" applyFont="1" applyAlignment="1">
      <alignment horizontal="center"/>
    </xf>
    <xf numFmtId="43" fontId="0" fillId="0" borderId="0" xfId="1" quotePrefix="1" applyFont="1" applyAlignment="1">
      <alignment horizontal="center"/>
    </xf>
    <xf numFmtId="0" fontId="0" fillId="0" borderId="2" xfId="0" quotePrefix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/>
    </xf>
    <xf numFmtId="170" fontId="0" fillId="0" borderId="0" xfId="1" applyNumberFormat="1" applyFont="1"/>
    <xf numFmtId="0" fontId="3" fillId="0" borderId="0" xfId="0" quotePrefix="1" applyFont="1" applyAlignment="1">
      <alignment horizontal="left"/>
    </xf>
    <xf numFmtId="43" fontId="0" fillId="0" borderId="0" xfId="1" applyFont="1" applyFill="1" applyBorder="1"/>
    <xf numFmtId="164" fontId="0" fillId="0" borderId="1" xfId="0" quotePrefix="1" applyNumberFormat="1" applyBorder="1" applyAlignment="1">
      <alignment horizontal="center"/>
    </xf>
    <xf numFmtId="0" fontId="4" fillId="0" borderId="0" xfId="0" quotePrefix="1" applyFont="1" applyAlignment="1">
      <alignment horizontal="left"/>
    </xf>
    <xf numFmtId="169" fontId="0" fillId="0" borderId="0" xfId="2" applyNumberFormat="1" applyFont="1" applyFill="1" applyBorder="1" applyAlignment="1">
      <alignment horizontal="center"/>
    </xf>
    <xf numFmtId="167" fontId="0" fillId="0" borderId="0" xfId="1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5" xfId="1" applyFont="1" applyBorder="1"/>
    <xf numFmtId="43" fontId="0" fillId="0" borderId="0" xfId="1" applyFont="1" applyBorder="1"/>
    <xf numFmtId="43" fontId="0" fillId="0" borderId="0" xfId="1" applyFont="1" applyBorder="1" applyAlignment="1">
      <alignment horizontal="left"/>
    </xf>
    <xf numFmtId="10" fontId="0" fillId="0" borderId="0" xfId="2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3" borderId="7" xfId="0" applyFill="1" applyBorder="1" applyAlignment="1">
      <alignment horizontal="center"/>
    </xf>
    <xf numFmtId="0" fontId="5" fillId="0" borderId="0" xfId="0" applyFont="1"/>
    <xf numFmtId="0" fontId="2" fillId="2" borderId="8" xfId="0" quotePrefix="1" applyFont="1" applyFill="1" applyBorder="1" applyAlignment="1">
      <alignment horizontal="center" wrapText="1"/>
    </xf>
    <xf numFmtId="166" fontId="0" fillId="0" borderId="3" xfId="2" applyNumberFormat="1" applyFont="1" applyBorder="1" applyAlignment="1">
      <alignment horizontal="center"/>
    </xf>
    <xf numFmtId="166" fontId="0" fillId="3" borderId="7" xfId="2" applyNumberFormat="1" applyFont="1" applyFill="1" applyBorder="1" applyAlignment="1">
      <alignment horizontal="center"/>
    </xf>
    <xf numFmtId="0" fontId="0" fillId="3" borderId="7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First Tryon">
      <a:dk1>
        <a:srgbClr val="2A3226"/>
      </a:dk1>
      <a:lt1>
        <a:sysClr val="window" lastClr="FFFFFF"/>
      </a:lt1>
      <a:dk2>
        <a:srgbClr val="007B85"/>
      </a:dk2>
      <a:lt2>
        <a:srgbClr val="BFBFBF"/>
      </a:lt2>
      <a:accent1>
        <a:srgbClr val="E0851B"/>
      </a:accent1>
      <a:accent2>
        <a:srgbClr val="FFC425"/>
      </a:accent2>
      <a:accent3>
        <a:srgbClr val="005288"/>
      </a:accent3>
      <a:accent4>
        <a:srgbClr val="70CDE3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264E-7B3F-4E35-8594-EDC932759878}">
  <sheetPr>
    <pageSetUpPr fitToPage="1"/>
  </sheetPr>
  <dimension ref="A2:R50"/>
  <sheetViews>
    <sheetView showGridLines="0" tabSelected="1" zoomScale="85" zoomScaleNormal="85" zoomScaleSheetLayoutView="85" workbookViewId="0"/>
  </sheetViews>
  <sheetFormatPr defaultRowHeight="13.5" x14ac:dyDescent="0.35"/>
  <cols>
    <col min="2" max="2" width="11.5" customWidth="1"/>
    <col min="3" max="3" width="15.5" bestFit="1" customWidth="1"/>
    <col min="4" max="5" width="10.08203125" style="4" customWidth="1"/>
    <col min="6" max="6" width="9.08203125" style="4" customWidth="1"/>
    <col min="7" max="7" width="10" style="4" customWidth="1"/>
    <col min="8" max="8" width="9.58203125" style="4" bestFit="1" customWidth="1"/>
    <col min="11" max="11" width="9.33203125" bestFit="1" customWidth="1"/>
    <col min="12" max="12" width="9.75" customWidth="1"/>
    <col min="13" max="13" width="14.58203125" bestFit="1" customWidth="1"/>
    <col min="14" max="14" width="12" bestFit="1" customWidth="1"/>
  </cols>
  <sheetData>
    <row r="2" spans="1:13" ht="19" x14ac:dyDescent="0.5">
      <c r="B2" s="35" t="s">
        <v>15</v>
      </c>
    </row>
    <row r="3" spans="1:13" x14ac:dyDescent="0.35">
      <c r="B3" s="26" t="s">
        <v>19</v>
      </c>
      <c r="M3" s="41"/>
    </row>
    <row r="4" spans="1:13" x14ac:dyDescent="0.35">
      <c r="B4" s="38"/>
    </row>
    <row r="5" spans="1:13" x14ac:dyDescent="0.35">
      <c r="E5" s="29"/>
    </row>
    <row r="6" spans="1:13" x14ac:dyDescent="0.35">
      <c r="B6" s="18" t="s">
        <v>14</v>
      </c>
      <c r="C6" s="30" t="s">
        <v>16</v>
      </c>
      <c r="G6" s="25"/>
      <c r="H6" s="25"/>
      <c r="M6" s="2"/>
    </row>
    <row r="7" spans="1:13" x14ac:dyDescent="0.35">
      <c r="B7" s="20" t="s">
        <v>13</v>
      </c>
      <c r="C7" s="27" t="s">
        <v>17</v>
      </c>
      <c r="G7" s="25"/>
      <c r="H7" s="25"/>
    </row>
    <row r="8" spans="1:13" x14ac:dyDescent="0.35">
      <c r="G8" s="25"/>
      <c r="H8" s="25"/>
    </row>
    <row r="9" spans="1:13" x14ac:dyDescent="0.35">
      <c r="B9" s="18" t="s">
        <v>8</v>
      </c>
      <c r="C9" s="19">
        <v>45056</v>
      </c>
      <c r="G9" s="45"/>
      <c r="H9"/>
      <c r="I9" s="46"/>
    </row>
    <row r="10" spans="1:13" x14ac:dyDescent="0.35">
      <c r="B10" s="21" t="s">
        <v>9</v>
      </c>
      <c r="C10" s="22">
        <v>45413</v>
      </c>
      <c r="E10"/>
      <c r="F10"/>
      <c r="G10" s="43"/>
      <c r="H10" s="43"/>
    </row>
    <row r="11" spans="1:13" x14ac:dyDescent="0.35">
      <c r="B11" s="21" t="s">
        <v>10</v>
      </c>
      <c r="C11" s="22">
        <v>51622</v>
      </c>
      <c r="D11"/>
      <c r="E11"/>
      <c r="H11"/>
    </row>
    <row r="12" spans="1:13" x14ac:dyDescent="0.35">
      <c r="B12" t="s">
        <v>3</v>
      </c>
      <c r="C12" s="41">
        <v>48700</v>
      </c>
      <c r="E12"/>
    </row>
    <row r="13" spans="1:13" x14ac:dyDescent="0.35">
      <c r="B13" s="21" t="s">
        <v>4</v>
      </c>
      <c r="C13" s="44">
        <v>100</v>
      </c>
      <c r="F13" s="26"/>
    </row>
    <row r="14" spans="1:13" x14ac:dyDescent="0.35">
      <c r="C14" s="41"/>
      <c r="E14" s="49"/>
      <c r="F14" s="50" t="s">
        <v>18</v>
      </c>
    </row>
    <row r="15" spans="1:13" x14ac:dyDescent="0.35">
      <c r="C15" s="41"/>
      <c r="E15" s="42"/>
      <c r="F15" s="33"/>
    </row>
    <row r="16" spans="1:13" s="23" customFormat="1" ht="29" x14ac:dyDescent="0.35">
      <c r="A16" s="31"/>
      <c r="B16" s="24" t="s">
        <v>0</v>
      </c>
      <c r="C16" s="24" t="s">
        <v>1</v>
      </c>
      <c r="D16" s="51" t="s">
        <v>22</v>
      </c>
      <c r="E16" s="51" t="s">
        <v>23</v>
      </c>
      <c r="F16" s="51" t="s">
        <v>24</v>
      </c>
      <c r="G16" s="24" t="s">
        <v>2</v>
      </c>
      <c r="H16" s="24" t="s">
        <v>11</v>
      </c>
      <c r="I16" s="24" t="s">
        <v>5</v>
      </c>
      <c r="J16" s="24" t="s">
        <v>6</v>
      </c>
      <c r="K16" s="24" t="s">
        <v>3</v>
      </c>
      <c r="L16" s="24" t="s">
        <v>4</v>
      </c>
      <c r="M16" s="24" t="s">
        <v>7</v>
      </c>
    </row>
    <row r="17" spans="1:18" x14ac:dyDescent="0.35">
      <c r="A17" s="36"/>
      <c r="B17" s="17">
        <f>+C10</f>
        <v>45413</v>
      </c>
      <c r="C17" s="3">
        <v>6725000</v>
      </c>
      <c r="D17" s="53"/>
      <c r="E17" s="53"/>
      <c r="F17" s="54"/>
      <c r="G17" s="16">
        <f>IF(E17&gt;0,E17,0)</f>
        <v>0</v>
      </c>
      <c r="H17" s="6">
        <f t="shared" ref="H17:H34" si="0">TRUNC((IF(G17&gt;D17,PRICE($C$9,B17,D17,G17,100,2,0),IF(D17=0,0,+IF(G17=D17,100,IF(K17=0,PRICE($C$9,B17,D17,G17,100,2,0),PRICE($C$9,K17,D17,G17,$C$13,2,0)))))),3)</f>
        <v>0</v>
      </c>
      <c r="I17" s="15">
        <f t="shared" ref="I17:I34" si="1">IF(D17=0,0,IF(K17=0,0,YIELD($C$9,B17,D17,H17,$C$13,2,0)))</f>
        <v>0</v>
      </c>
      <c r="J17" s="7">
        <f t="shared" ref="J17:J34" si="2">IF(D17=0,0,IF(I17=0,0,I17-G17))</f>
        <v>0</v>
      </c>
      <c r="K17" s="28">
        <f t="shared" ref="K17:K34" si="3">IF(OR(G17&gt;=D17,$C$12&gt;=B17),0,$C$12)</f>
        <v>0</v>
      </c>
      <c r="L17" s="2">
        <f t="shared" ref="L17:L34" si="4">IF($C$12&gt;0,IF(OR(G17&gt;=D17,$C$12&gt;=B17),0,$C$13),0)</f>
        <v>0</v>
      </c>
      <c r="M17" s="34" t="b">
        <f t="shared" ref="M17:M34" si="5">IF(H17=100,0,IF(G17&gt;D17,(100-H17)/100*-C17,IF(C17=0,0,IF(H17&gt;100,(H17-100)/100*C17))))</f>
        <v>0</v>
      </c>
      <c r="N17" s="14"/>
      <c r="R17" s="3"/>
    </row>
    <row r="18" spans="1:18" x14ac:dyDescent="0.35">
      <c r="A18" s="36"/>
      <c r="B18" s="17">
        <f>IF(B17=0,0,IF($C$11=B17,0,EDATE(B17,12)))</f>
        <v>45778</v>
      </c>
      <c r="C18" s="3">
        <v>6725000</v>
      </c>
      <c r="D18" s="53"/>
      <c r="E18" s="53"/>
      <c r="F18" s="54"/>
      <c r="G18" s="16">
        <f t="shared" ref="G18:G34" si="6">IF(E18&gt;0,E18,0)</f>
        <v>0</v>
      </c>
      <c r="H18" s="6">
        <f t="shared" si="0"/>
        <v>0</v>
      </c>
      <c r="I18" s="15">
        <f t="shared" si="1"/>
        <v>0</v>
      </c>
      <c r="J18" s="7">
        <f t="shared" si="2"/>
        <v>0</v>
      </c>
      <c r="K18" s="28">
        <f t="shared" si="3"/>
        <v>0</v>
      </c>
      <c r="L18" s="2">
        <f t="shared" si="4"/>
        <v>0</v>
      </c>
      <c r="M18" s="34" t="b">
        <f t="shared" si="5"/>
        <v>0</v>
      </c>
      <c r="P18" s="26"/>
      <c r="R18" s="3"/>
    </row>
    <row r="19" spans="1:18" x14ac:dyDescent="0.35">
      <c r="A19" s="36"/>
      <c r="B19" s="17">
        <f>IF(B18=0,0,IF($C$11=B18,0,EDATE(B18,12)))</f>
        <v>46143</v>
      </c>
      <c r="C19" s="3">
        <v>6725000</v>
      </c>
      <c r="D19" s="53"/>
      <c r="E19" s="53"/>
      <c r="F19" s="54"/>
      <c r="G19" s="16">
        <f t="shared" si="6"/>
        <v>0</v>
      </c>
      <c r="H19" s="6">
        <f t="shared" si="0"/>
        <v>0</v>
      </c>
      <c r="I19" s="15">
        <f t="shared" si="1"/>
        <v>0</v>
      </c>
      <c r="J19" s="7">
        <f t="shared" si="2"/>
        <v>0</v>
      </c>
      <c r="K19" s="28">
        <f t="shared" si="3"/>
        <v>0</v>
      </c>
      <c r="L19" s="2">
        <f t="shared" si="4"/>
        <v>0</v>
      </c>
      <c r="M19" s="34" t="b">
        <f t="shared" si="5"/>
        <v>0</v>
      </c>
      <c r="P19" s="26"/>
      <c r="R19" s="3"/>
    </row>
    <row r="20" spans="1:18" x14ac:dyDescent="0.35">
      <c r="A20" s="36"/>
      <c r="B20" s="17">
        <f>IF(B19=0,0,IF($C$11=B19,0,EDATE(B19,12)))</f>
        <v>46508</v>
      </c>
      <c r="C20" s="3">
        <v>6725000</v>
      </c>
      <c r="D20" s="53"/>
      <c r="E20" s="53"/>
      <c r="F20" s="54"/>
      <c r="G20" s="16">
        <f t="shared" si="6"/>
        <v>0</v>
      </c>
      <c r="H20" s="6">
        <f t="shared" si="0"/>
        <v>0</v>
      </c>
      <c r="I20" s="15">
        <f t="shared" si="1"/>
        <v>0</v>
      </c>
      <c r="J20" s="7">
        <f t="shared" si="2"/>
        <v>0</v>
      </c>
      <c r="K20" s="28">
        <f t="shared" si="3"/>
        <v>0</v>
      </c>
      <c r="L20" s="2">
        <f t="shared" si="4"/>
        <v>0</v>
      </c>
      <c r="M20" s="34" t="b">
        <f t="shared" si="5"/>
        <v>0</v>
      </c>
      <c r="P20" s="26"/>
      <c r="R20" s="3"/>
    </row>
    <row r="21" spans="1:18" x14ac:dyDescent="0.35">
      <c r="A21" s="36"/>
      <c r="B21" s="17">
        <f>IF(B20=0,0,IF($C$11=B20,0,EDATE(B20,12)))</f>
        <v>46874</v>
      </c>
      <c r="C21" s="3">
        <v>6725000</v>
      </c>
      <c r="D21" s="53"/>
      <c r="E21" s="53"/>
      <c r="F21" s="54"/>
      <c r="G21" s="16">
        <f t="shared" si="6"/>
        <v>0</v>
      </c>
      <c r="H21" s="6">
        <f t="shared" si="0"/>
        <v>0</v>
      </c>
      <c r="I21" s="15">
        <f t="shared" si="1"/>
        <v>0</v>
      </c>
      <c r="J21" s="7">
        <f t="shared" si="2"/>
        <v>0</v>
      </c>
      <c r="K21" s="28">
        <f t="shared" si="3"/>
        <v>0</v>
      </c>
      <c r="L21" s="2">
        <f t="shared" si="4"/>
        <v>0</v>
      </c>
      <c r="M21" s="34" t="b">
        <f t="shared" si="5"/>
        <v>0</v>
      </c>
      <c r="P21" s="26"/>
      <c r="R21" s="3"/>
    </row>
    <row r="22" spans="1:18" x14ac:dyDescent="0.35">
      <c r="A22" s="36"/>
      <c r="B22" s="17">
        <f>IF(B21=0,0,IF($C$11=B21,0,EDATE(B21,12)))</f>
        <v>47239</v>
      </c>
      <c r="C22" s="3">
        <v>6725000</v>
      </c>
      <c r="D22" s="53"/>
      <c r="E22" s="53"/>
      <c r="F22" s="54"/>
      <c r="G22" s="16">
        <f t="shared" si="6"/>
        <v>0</v>
      </c>
      <c r="H22" s="6">
        <f t="shared" si="0"/>
        <v>0</v>
      </c>
      <c r="I22" s="15">
        <f t="shared" si="1"/>
        <v>0</v>
      </c>
      <c r="J22" s="7">
        <f t="shared" si="2"/>
        <v>0</v>
      </c>
      <c r="K22" s="28">
        <f t="shared" si="3"/>
        <v>0</v>
      </c>
      <c r="L22" s="2">
        <f t="shared" si="4"/>
        <v>0</v>
      </c>
      <c r="M22" s="34" t="b">
        <f t="shared" si="5"/>
        <v>0</v>
      </c>
      <c r="P22" s="26"/>
      <c r="R22" s="3"/>
    </row>
    <row r="23" spans="1:18" x14ac:dyDescent="0.35">
      <c r="A23" s="36"/>
      <c r="B23" s="17">
        <f t="shared" ref="B23:B34" si="7">IF(B22=0,0,IF($C$11=B22,0,EDATE(B22,12)))</f>
        <v>47604</v>
      </c>
      <c r="C23" s="3">
        <v>6725000</v>
      </c>
      <c r="D23" s="53"/>
      <c r="E23" s="53"/>
      <c r="F23" s="54"/>
      <c r="G23" s="16">
        <f t="shared" si="6"/>
        <v>0</v>
      </c>
      <c r="H23" s="6">
        <f t="shared" si="0"/>
        <v>0</v>
      </c>
      <c r="I23" s="15">
        <f t="shared" si="1"/>
        <v>0</v>
      </c>
      <c r="J23" s="7">
        <f t="shared" si="2"/>
        <v>0</v>
      </c>
      <c r="K23" s="28">
        <f t="shared" si="3"/>
        <v>0</v>
      </c>
      <c r="L23" s="2">
        <f t="shared" si="4"/>
        <v>0</v>
      </c>
      <c r="M23" s="34" t="b">
        <f t="shared" si="5"/>
        <v>0</v>
      </c>
      <c r="R23" s="3"/>
    </row>
    <row r="24" spans="1:18" x14ac:dyDescent="0.35">
      <c r="A24" s="36"/>
      <c r="B24" s="17">
        <f>IF(B23=0,0,IF($C$11=B23,0,EDATE(B23,12)))</f>
        <v>47969</v>
      </c>
      <c r="C24" s="3">
        <v>6725000</v>
      </c>
      <c r="D24" s="53"/>
      <c r="E24" s="53"/>
      <c r="F24" s="54"/>
      <c r="G24" s="16">
        <f t="shared" si="6"/>
        <v>0</v>
      </c>
      <c r="H24" s="6">
        <f t="shared" si="0"/>
        <v>0</v>
      </c>
      <c r="I24" s="15">
        <f t="shared" si="1"/>
        <v>0</v>
      </c>
      <c r="J24" s="7">
        <f t="shared" si="2"/>
        <v>0</v>
      </c>
      <c r="K24" s="28">
        <f t="shared" si="3"/>
        <v>0</v>
      </c>
      <c r="L24" s="2">
        <f t="shared" si="4"/>
        <v>0</v>
      </c>
      <c r="M24" s="34" t="b">
        <f t="shared" si="5"/>
        <v>0</v>
      </c>
      <c r="R24" s="3"/>
    </row>
    <row r="25" spans="1:18" x14ac:dyDescent="0.35">
      <c r="A25" s="36"/>
      <c r="B25" s="17">
        <f>IF(B24=0,0,IF($C$11=B24,0,EDATE(B24,12)))</f>
        <v>48335</v>
      </c>
      <c r="C25" s="3">
        <v>6720000</v>
      </c>
      <c r="D25" s="53"/>
      <c r="E25" s="53"/>
      <c r="F25" s="54"/>
      <c r="G25" s="39">
        <f t="shared" si="6"/>
        <v>0</v>
      </c>
      <c r="H25" s="40">
        <f t="shared" si="0"/>
        <v>0</v>
      </c>
      <c r="I25" s="15">
        <f t="shared" si="1"/>
        <v>0</v>
      </c>
      <c r="J25" s="7">
        <f t="shared" si="2"/>
        <v>0</v>
      </c>
      <c r="K25" s="28">
        <f t="shared" si="3"/>
        <v>0</v>
      </c>
      <c r="L25" s="2">
        <f t="shared" si="4"/>
        <v>0</v>
      </c>
      <c r="M25" s="34" t="b">
        <f t="shared" si="5"/>
        <v>0</v>
      </c>
      <c r="R25" s="3"/>
    </row>
    <row r="26" spans="1:18" x14ac:dyDescent="0.35">
      <c r="A26" s="36"/>
      <c r="B26" s="17">
        <f>IF(B25=0,0,IF($C$11=B25,0,EDATE(B25,12)))</f>
        <v>48700</v>
      </c>
      <c r="C26" s="3">
        <v>6720000</v>
      </c>
      <c r="D26" s="53"/>
      <c r="E26" s="53"/>
      <c r="F26" s="54"/>
      <c r="G26" s="39">
        <f t="shared" si="6"/>
        <v>0</v>
      </c>
      <c r="H26" s="40">
        <f t="shared" si="0"/>
        <v>0</v>
      </c>
      <c r="I26" s="15">
        <f t="shared" si="1"/>
        <v>0</v>
      </c>
      <c r="J26" s="7">
        <f t="shared" si="2"/>
        <v>0</v>
      </c>
      <c r="K26" s="28">
        <f t="shared" si="3"/>
        <v>0</v>
      </c>
      <c r="L26" s="2">
        <f t="shared" si="4"/>
        <v>0</v>
      </c>
      <c r="M26" s="34" t="b">
        <f t="shared" si="5"/>
        <v>0</v>
      </c>
      <c r="R26" s="3"/>
    </row>
    <row r="27" spans="1:18" x14ac:dyDescent="0.35">
      <c r="A27" s="36"/>
      <c r="B27" s="17">
        <f t="shared" si="7"/>
        <v>49065</v>
      </c>
      <c r="C27" s="3">
        <v>6720000</v>
      </c>
      <c r="D27" s="53"/>
      <c r="E27" s="53"/>
      <c r="F27" s="54"/>
      <c r="G27" s="39">
        <f t="shared" si="6"/>
        <v>0</v>
      </c>
      <c r="H27" s="40">
        <f t="shared" si="0"/>
        <v>0</v>
      </c>
      <c r="I27" s="15">
        <f t="shared" si="1"/>
        <v>0</v>
      </c>
      <c r="J27" s="7">
        <f t="shared" si="2"/>
        <v>0</v>
      </c>
      <c r="K27" s="28">
        <f t="shared" si="3"/>
        <v>0</v>
      </c>
      <c r="L27" s="2">
        <f t="shared" si="4"/>
        <v>0</v>
      </c>
      <c r="M27" s="34" t="b">
        <f t="shared" si="5"/>
        <v>0</v>
      </c>
      <c r="R27" s="3"/>
    </row>
    <row r="28" spans="1:18" x14ac:dyDescent="0.35">
      <c r="A28" s="36"/>
      <c r="B28" s="17">
        <f>IF(B27=0,0,IF($C$11=B27,0,EDATE(B27,12)))</f>
        <v>49430</v>
      </c>
      <c r="C28" s="3">
        <v>6720000</v>
      </c>
      <c r="D28" s="53"/>
      <c r="E28" s="53"/>
      <c r="F28" s="54"/>
      <c r="G28" s="39">
        <f t="shared" si="6"/>
        <v>0</v>
      </c>
      <c r="H28" s="40">
        <f t="shared" si="0"/>
        <v>0</v>
      </c>
      <c r="I28" s="15">
        <f t="shared" si="1"/>
        <v>0</v>
      </c>
      <c r="J28" s="7">
        <f t="shared" si="2"/>
        <v>0</v>
      </c>
      <c r="K28" s="28">
        <f t="shared" si="3"/>
        <v>0</v>
      </c>
      <c r="L28" s="2">
        <f t="shared" si="4"/>
        <v>0</v>
      </c>
      <c r="M28" s="34" t="b">
        <f t="shared" si="5"/>
        <v>0</v>
      </c>
      <c r="R28" s="3"/>
    </row>
    <row r="29" spans="1:18" x14ac:dyDescent="0.35">
      <c r="A29" s="36"/>
      <c r="B29" s="17">
        <f t="shared" si="7"/>
        <v>49796</v>
      </c>
      <c r="C29" s="3">
        <v>6720000</v>
      </c>
      <c r="D29" s="53"/>
      <c r="E29" s="53"/>
      <c r="F29" s="54"/>
      <c r="G29" s="39">
        <f t="shared" si="6"/>
        <v>0</v>
      </c>
      <c r="H29" s="40">
        <f t="shared" si="0"/>
        <v>0</v>
      </c>
      <c r="I29" s="15">
        <f t="shared" si="1"/>
        <v>0</v>
      </c>
      <c r="J29" s="7">
        <f t="shared" si="2"/>
        <v>0</v>
      </c>
      <c r="K29" s="28">
        <f t="shared" si="3"/>
        <v>0</v>
      </c>
      <c r="L29" s="2">
        <f t="shared" si="4"/>
        <v>0</v>
      </c>
      <c r="M29" s="34" t="b">
        <f t="shared" si="5"/>
        <v>0</v>
      </c>
      <c r="R29" s="3"/>
    </row>
    <row r="30" spans="1:18" x14ac:dyDescent="0.35">
      <c r="A30" s="36"/>
      <c r="B30" s="17">
        <f t="shared" si="7"/>
        <v>50161</v>
      </c>
      <c r="C30" s="3">
        <v>6720000</v>
      </c>
      <c r="D30" s="53"/>
      <c r="E30" s="53"/>
      <c r="F30" s="54"/>
      <c r="G30" s="39">
        <f t="shared" si="6"/>
        <v>0</v>
      </c>
      <c r="H30" s="40">
        <f t="shared" si="0"/>
        <v>0</v>
      </c>
      <c r="I30" s="15">
        <f t="shared" si="1"/>
        <v>0</v>
      </c>
      <c r="J30" s="7">
        <f t="shared" si="2"/>
        <v>0</v>
      </c>
      <c r="K30" s="28">
        <f t="shared" si="3"/>
        <v>0</v>
      </c>
      <c r="L30" s="2">
        <f t="shared" si="4"/>
        <v>0</v>
      </c>
      <c r="M30" s="34" t="b">
        <f t="shared" si="5"/>
        <v>0</v>
      </c>
      <c r="R30" s="3"/>
    </row>
    <row r="31" spans="1:18" x14ac:dyDescent="0.35">
      <c r="A31" s="36"/>
      <c r="B31" s="17">
        <f>IF(B30=0,0,IF($C$11=B30,0,EDATE(B30,12)))</f>
        <v>50526</v>
      </c>
      <c r="C31" s="3">
        <v>6720000</v>
      </c>
      <c r="D31" s="53"/>
      <c r="E31" s="53"/>
      <c r="F31" s="54"/>
      <c r="G31" s="39">
        <f t="shared" si="6"/>
        <v>0</v>
      </c>
      <c r="H31" s="40">
        <f t="shared" si="0"/>
        <v>0</v>
      </c>
      <c r="I31" s="15">
        <f t="shared" si="1"/>
        <v>0</v>
      </c>
      <c r="J31" s="7">
        <f t="shared" si="2"/>
        <v>0</v>
      </c>
      <c r="K31" s="28">
        <f t="shared" si="3"/>
        <v>0</v>
      </c>
      <c r="L31" s="2">
        <f t="shared" si="4"/>
        <v>0</v>
      </c>
      <c r="M31" s="34" t="b">
        <f t="shared" si="5"/>
        <v>0</v>
      </c>
      <c r="R31" s="3"/>
    </row>
    <row r="32" spans="1:18" x14ac:dyDescent="0.35">
      <c r="A32" s="36"/>
      <c r="B32" s="17">
        <f t="shared" si="7"/>
        <v>50891</v>
      </c>
      <c r="C32" s="3">
        <v>6720000</v>
      </c>
      <c r="D32" s="53"/>
      <c r="E32" s="53"/>
      <c r="F32" s="54"/>
      <c r="G32" s="39">
        <f t="shared" si="6"/>
        <v>0</v>
      </c>
      <c r="H32" s="40">
        <f t="shared" si="0"/>
        <v>0</v>
      </c>
      <c r="I32" s="15">
        <f t="shared" si="1"/>
        <v>0</v>
      </c>
      <c r="J32" s="7">
        <f t="shared" si="2"/>
        <v>0</v>
      </c>
      <c r="K32" s="28">
        <f t="shared" si="3"/>
        <v>0</v>
      </c>
      <c r="L32" s="2">
        <f t="shared" si="4"/>
        <v>0</v>
      </c>
      <c r="M32" s="34" t="b">
        <f t="shared" si="5"/>
        <v>0</v>
      </c>
      <c r="R32" s="3"/>
    </row>
    <row r="33" spans="1:18" x14ac:dyDescent="0.35">
      <c r="A33" s="36"/>
      <c r="B33" s="17">
        <f t="shared" si="7"/>
        <v>51257</v>
      </c>
      <c r="C33" s="3">
        <v>6720000</v>
      </c>
      <c r="D33" s="53"/>
      <c r="E33" s="53"/>
      <c r="F33" s="54"/>
      <c r="G33" s="39">
        <f t="shared" si="6"/>
        <v>0</v>
      </c>
      <c r="H33" s="40">
        <f t="shared" si="0"/>
        <v>0</v>
      </c>
      <c r="I33" s="15">
        <f t="shared" si="1"/>
        <v>0</v>
      </c>
      <c r="J33" s="7">
        <f t="shared" si="2"/>
        <v>0</v>
      </c>
      <c r="K33" s="28">
        <f t="shared" si="3"/>
        <v>0</v>
      </c>
      <c r="L33" s="2">
        <f t="shared" si="4"/>
        <v>0</v>
      </c>
      <c r="M33" s="34" t="b">
        <f t="shared" si="5"/>
        <v>0</v>
      </c>
      <c r="R33" s="3"/>
    </row>
    <row r="34" spans="1:18" x14ac:dyDescent="0.35">
      <c r="A34" s="36"/>
      <c r="B34" s="17">
        <f t="shared" si="7"/>
        <v>51622</v>
      </c>
      <c r="C34" s="3">
        <v>6720000</v>
      </c>
      <c r="D34" s="53"/>
      <c r="E34" s="53"/>
      <c r="F34" s="54"/>
      <c r="G34" s="39">
        <f t="shared" si="6"/>
        <v>0</v>
      </c>
      <c r="H34" s="40">
        <f t="shared" si="0"/>
        <v>0</v>
      </c>
      <c r="I34" s="15">
        <f t="shared" si="1"/>
        <v>0</v>
      </c>
      <c r="J34" s="7">
        <f t="shared" si="2"/>
        <v>0</v>
      </c>
      <c r="K34" s="28">
        <f t="shared" si="3"/>
        <v>0</v>
      </c>
      <c r="L34" s="2">
        <f t="shared" si="4"/>
        <v>0</v>
      </c>
      <c r="M34" s="34" t="b">
        <f t="shared" si="5"/>
        <v>0</v>
      </c>
      <c r="R34" s="3"/>
    </row>
    <row r="35" spans="1:18" s="32" customFormat="1" x14ac:dyDescent="0.35">
      <c r="B35" s="37" t="s">
        <v>12</v>
      </c>
      <c r="C35" s="9">
        <f>SUM(C17:C34)</f>
        <v>121000000</v>
      </c>
      <c r="D35" s="52"/>
      <c r="E35" s="52"/>
      <c r="F35" s="52"/>
      <c r="G35" s="10"/>
      <c r="H35" s="11">
        <f>IF(C35=0,0,(((M35+C35)-C14*C35/1000)/C35*100))</f>
        <v>100</v>
      </c>
      <c r="I35" s="13"/>
      <c r="J35" s="13"/>
      <c r="K35" s="8"/>
      <c r="L35" s="12"/>
      <c r="M35" s="12">
        <f>SUM(M17:M34)</f>
        <v>0</v>
      </c>
    </row>
    <row r="36" spans="1:18" ht="15.5" x14ac:dyDescent="0.35">
      <c r="B36" s="50" t="s">
        <v>21</v>
      </c>
      <c r="C36" s="2"/>
      <c r="D36" s="5"/>
      <c r="E36" s="5"/>
      <c r="F36" s="5"/>
      <c r="G36" s="47"/>
      <c r="H36" s="48"/>
      <c r="I36" s="7"/>
      <c r="J36" s="7"/>
      <c r="K36" s="1"/>
      <c r="L36" s="2"/>
      <c r="M36" s="2"/>
    </row>
    <row r="37" spans="1:18" ht="15.5" x14ac:dyDescent="0.35">
      <c r="B37" s="50" t="s">
        <v>25</v>
      </c>
      <c r="C37" s="2"/>
      <c r="D37" s="5"/>
      <c r="E37" s="5"/>
      <c r="F37" s="5"/>
      <c r="G37" s="47"/>
      <c r="H37" s="48"/>
      <c r="I37" s="7"/>
      <c r="J37" s="7"/>
      <c r="K37" s="1"/>
      <c r="L37" s="2"/>
      <c r="M37" s="2"/>
    </row>
    <row r="38" spans="1:18" x14ac:dyDescent="0.35">
      <c r="C38" s="14"/>
      <c r="G38" s="47"/>
      <c r="H38" s="48"/>
    </row>
    <row r="39" spans="1:18" x14ac:dyDescent="0.35">
      <c r="G39" s="47"/>
      <c r="H39" s="48"/>
    </row>
    <row r="40" spans="1:18" x14ac:dyDescent="0.35">
      <c r="G40" s="47"/>
      <c r="H40" s="48"/>
    </row>
    <row r="41" spans="1:18" x14ac:dyDescent="0.35">
      <c r="G41" s="47"/>
      <c r="H41" s="48"/>
    </row>
    <row r="42" spans="1:18" x14ac:dyDescent="0.35">
      <c r="G42" s="47"/>
      <c r="H42" s="48"/>
    </row>
    <row r="43" spans="1:18" x14ac:dyDescent="0.35">
      <c r="G43" s="47"/>
      <c r="H43" s="48"/>
    </row>
    <row r="44" spans="1:18" x14ac:dyDescent="0.35">
      <c r="G44" s="47"/>
      <c r="H44" s="48"/>
    </row>
    <row r="45" spans="1:18" x14ac:dyDescent="0.35">
      <c r="G45" s="47"/>
      <c r="H45" s="48"/>
    </row>
    <row r="46" spans="1:18" x14ac:dyDescent="0.35">
      <c r="G46" s="47"/>
      <c r="H46" s="48"/>
    </row>
    <row r="47" spans="1:18" x14ac:dyDescent="0.35">
      <c r="G47" s="47"/>
      <c r="H47" s="48"/>
    </row>
    <row r="48" spans="1:18" x14ac:dyDescent="0.35">
      <c r="G48" s="47"/>
      <c r="H48" s="48"/>
    </row>
    <row r="49" spans="7:8" x14ac:dyDescent="0.35">
      <c r="G49" s="47"/>
      <c r="H49" s="48"/>
    </row>
    <row r="50" spans="7:8" x14ac:dyDescent="0.35">
      <c r="G50" s="47"/>
      <c r="H50" s="48"/>
    </row>
  </sheetData>
  <printOptions horizontalCentered="1"/>
  <pageMargins left="0.7" right="0.7" top="0.75" bottom="0.75" header="0.3" footer="0.3"/>
  <pageSetup scale="63" orientation="portrait" horizontalDpi="1200" verticalDpi="1200" r:id="rId1"/>
  <headerFoot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C97B1-996D-44A2-AF19-640DE81D6692}">
  <sheetPr>
    <pageSetUpPr fitToPage="1"/>
  </sheetPr>
  <dimension ref="A2:R50"/>
  <sheetViews>
    <sheetView showGridLines="0" zoomScale="85" zoomScaleNormal="85" zoomScaleSheetLayoutView="85" workbookViewId="0"/>
  </sheetViews>
  <sheetFormatPr defaultRowHeight="13.5" x14ac:dyDescent="0.35"/>
  <cols>
    <col min="2" max="2" width="11.5" customWidth="1"/>
    <col min="3" max="3" width="15.5" bestFit="1" customWidth="1"/>
    <col min="4" max="5" width="10.08203125" style="4" customWidth="1"/>
    <col min="6" max="6" width="9.08203125" style="4" customWidth="1"/>
    <col min="7" max="7" width="10" style="4" customWidth="1"/>
    <col min="8" max="8" width="9.58203125" style="4" bestFit="1" customWidth="1"/>
    <col min="11" max="11" width="9.33203125" bestFit="1" customWidth="1"/>
    <col min="12" max="12" width="9.75" customWidth="1"/>
    <col min="13" max="13" width="14.58203125" bestFit="1" customWidth="1"/>
    <col min="14" max="14" width="12" bestFit="1" customWidth="1"/>
  </cols>
  <sheetData>
    <row r="2" spans="1:13" ht="19" x14ac:dyDescent="0.5">
      <c r="B2" s="35" t="s">
        <v>15</v>
      </c>
    </row>
    <row r="3" spans="1:13" x14ac:dyDescent="0.35">
      <c r="B3" s="26" t="s">
        <v>20</v>
      </c>
      <c r="M3" s="41"/>
    </row>
    <row r="4" spans="1:13" x14ac:dyDescent="0.35">
      <c r="B4" s="38"/>
    </row>
    <row r="5" spans="1:13" x14ac:dyDescent="0.35">
      <c r="E5" s="29"/>
    </row>
    <row r="6" spans="1:13" x14ac:dyDescent="0.35">
      <c r="B6" s="18" t="s">
        <v>14</v>
      </c>
      <c r="C6" s="30" t="s">
        <v>16</v>
      </c>
      <c r="G6" s="25"/>
      <c r="H6" s="25"/>
      <c r="M6" s="2"/>
    </row>
    <row r="7" spans="1:13" x14ac:dyDescent="0.35">
      <c r="B7" s="20" t="s">
        <v>13</v>
      </c>
      <c r="C7" s="27" t="s">
        <v>17</v>
      </c>
      <c r="G7" s="25"/>
      <c r="H7" s="25"/>
    </row>
    <row r="8" spans="1:13" x14ac:dyDescent="0.35">
      <c r="G8" s="25"/>
      <c r="H8" s="25"/>
    </row>
    <row r="9" spans="1:13" x14ac:dyDescent="0.35">
      <c r="B9" s="18" t="s">
        <v>8</v>
      </c>
      <c r="C9" s="19">
        <v>45056</v>
      </c>
      <c r="G9" s="45"/>
      <c r="H9"/>
      <c r="I9" s="46"/>
    </row>
    <row r="10" spans="1:13" x14ac:dyDescent="0.35">
      <c r="B10" s="21" t="s">
        <v>9</v>
      </c>
      <c r="C10" s="22">
        <v>45413</v>
      </c>
      <c r="E10"/>
      <c r="F10"/>
      <c r="G10" s="43"/>
      <c r="H10" s="43"/>
    </row>
    <row r="11" spans="1:13" x14ac:dyDescent="0.35">
      <c r="B11" s="21" t="s">
        <v>10</v>
      </c>
      <c r="C11" s="22">
        <v>51622</v>
      </c>
      <c r="D11"/>
      <c r="E11"/>
      <c r="H11"/>
    </row>
    <row r="12" spans="1:13" x14ac:dyDescent="0.35">
      <c r="B12" t="s">
        <v>3</v>
      </c>
      <c r="C12" s="41">
        <v>48700</v>
      </c>
      <c r="E12"/>
    </row>
    <row r="13" spans="1:13" x14ac:dyDescent="0.35">
      <c r="B13" s="21" t="s">
        <v>4</v>
      </c>
      <c r="C13" s="44">
        <v>100</v>
      </c>
      <c r="F13" s="26"/>
    </row>
    <row r="14" spans="1:13" x14ac:dyDescent="0.35">
      <c r="C14" s="41"/>
      <c r="E14" s="49"/>
      <c r="F14" s="50" t="s">
        <v>18</v>
      </c>
    </row>
    <row r="15" spans="1:13" x14ac:dyDescent="0.35">
      <c r="C15" s="41"/>
      <c r="E15" s="42"/>
      <c r="F15" s="33"/>
    </row>
    <row r="16" spans="1:13" s="23" customFormat="1" ht="29" x14ac:dyDescent="0.35">
      <c r="A16" s="31"/>
      <c r="B16" s="24" t="s">
        <v>0</v>
      </c>
      <c r="C16" s="24" t="s">
        <v>1</v>
      </c>
      <c r="D16" s="51" t="s">
        <v>22</v>
      </c>
      <c r="E16" s="51" t="s">
        <v>23</v>
      </c>
      <c r="F16" s="51" t="s">
        <v>24</v>
      </c>
      <c r="G16" s="24" t="s">
        <v>2</v>
      </c>
      <c r="H16" s="24" t="s">
        <v>11</v>
      </c>
      <c r="I16" s="24" t="s">
        <v>5</v>
      </c>
      <c r="J16" s="24" t="s">
        <v>6</v>
      </c>
      <c r="K16" s="24" t="s">
        <v>3</v>
      </c>
      <c r="L16" s="24" t="s">
        <v>4</v>
      </c>
      <c r="M16" s="24" t="s">
        <v>7</v>
      </c>
    </row>
    <row r="17" spans="1:18" x14ac:dyDescent="0.35">
      <c r="A17" s="36"/>
      <c r="B17" s="17">
        <f>+C10</f>
        <v>45413</v>
      </c>
      <c r="C17" s="3">
        <v>3375000</v>
      </c>
      <c r="D17" s="53"/>
      <c r="E17" s="53"/>
      <c r="F17" s="54"/>
      <c r="G17" s="16">
        <f>IF(E17&gt;0,E17,0)</f>
        <v>0</v>
      </c>
      <c r="H17" s="6">
        <f t="shared" ref="H17:H34" si="0">TRUNC((IF(G17&gt;D17,PRICE($C$9,B17,D17,G17,100,2,0),IF(D17=0,0,+IF(G17=D17,100,IF(K17=0,PRICE($C$9,B17,D17,G17,100,2,0),PRICE($C$9,K17,D17,G17,$C$13,2,0)))))),3)</f>
        <v>0</v>
      </c>
      <c r="I17" s="15">
        <f t="shared" ref="I17:I34" si="1">IF(D17=0,0,IF(K17=0,0,YIELD($C$9,B17,D17,H17,$C$13,2,0)))</f>
        <v>0</v>
      </c>
      <c r="J17" s="7">
        <f t="shared" ref="J17:J34" si="2">IF(D17=0,0,IF(I17=0,0,I17-G17))</f>
        <v>0</v>
      </c>
      <c r="K17" s="28">
        <f t="shared" ref="K17:K34" si="3">IF(OR(G17&gt;=D17,$C$12&gt;=B17),0,$C$12)</f>
        <v>0</v>
      </c>
      <c r="L17" s="2">
        <f t="shared" ref="L17:L34" si="4">IF($C$12&gt;0,IF(OR(G17&gt;=D17,$C$12&gt;=B17),0,$C$13),0)</f>
        <v>0</v>
      </c>
      <c r="M17" s="34" t="b">
        <f t="shared" ref="M17:M34" si="5">IF(H17=100,0,IF(G17&gt;D17,(100-H17)/100*-C17,IF(C17=0,0,IF(H17&gt;100,(H17-100)/100*C17))))</f>
        <v>0</v>
      </c>
      <c r="N17" s="14"/>
      <c r="R17" s="3"/>
    </row>
    <row r="18" spans="1:18" x14ac:dyDescent="0.35">
      <c r="A18" s="36"/>
      <c r="B18" s="17">
        <f>IF(B17=0,0,IF($C$11=B17,0,EDATE(B17,12)))</f>
        <v>45778</v>
      </c>
      <c r="C18" s="3">
        <v>3375000</v>
      </c>
      <c r="D18" s="53"/>
      <c r="E18" s="53"/>
      <c r="F18" s="54"/>
      <c r="G18" s="16">
        <f t="shared" ref="G18:G34" si="6">IF(E18&gt;0,E18,0)</f>
        <v>0</v>
      </c>
      <c r="H18" s="6">
        <f t="shared" si="0"/>
        <v>0</v>
      </c>
      <c r="I18" s="15">
        <f t="shared" si="1"/>
        <v>0</v>
      </c>
      <c r="J18" s="7">
        <f t="shared" si="2"/>
        <v>0</v>
      </c>
      <c r="K18" s="28">
        <f t="shared" si="3"/>
        <v>0</v>
      </c>
      <c r="L18" s="2">
        <f t="shared" si="4"/>
        <v>0</v>
      </c>
      <c r="M18" s="34" t="b">
        <f t="shared" si="5"/>
        <v>0</v>
      </c>
      <c r="P18" s="26"/>
      <c r="R18" s="3"/>
    </row>
    <row r="19" spans="1:18" x14ac:dyDescent="0.35">
      <c r="A19" s="36"/>
      <c r="B19" s="17">
        <f>IF(B18=0,0,IF($C$11=B18,0,EDATE(B18,12)))</f>
        <v>46143</v>
      </c>
      <c r="C19" s="3">
        <v>3375000</v>
      </c>
      <c r="D19" s="53"/>
      <c r="E19" s="53"/>
      <c r="F19" s="54"/>
      <c r="G19" s="16">
        <f t="shared" si="6"/>
        <v>0</v>
      </c>
      <c r="H19" s="6">
        <f t="shared" si="0"/>
        <v>0</v>
      </c>
      <c r="I19" s="15">
        <f t="shared" si="1"/>
        <v>0</v>
      </c>
      <c r="J19" s="7">
        <f t="shared" si="2"/>
        <v>0</v>
      </c>
      <c r="K19" s="28">
        <f t="shared" si="3"/>
        <v>0</v>
      </c>
      <c r="L19" s="2">
        <f t="shared" si="4"/>
        <v>0</v>
      </c>
      <c r="M19" s="34" t="b">
        <f t="shared" si="5"/>
        <v>0</v>
      </c>
      <c r="P19" s="26"/>
      <c r="R19" s="3"/>
    </row>
    <row r="20" spans="1:18" x14ac:dyDescent="0.35">
      <c r="A20" s="36"/>
      <c r="B20" s="17">
        <f>IF(B19=0,0,IF($C$11=B19,0,EDATE(B19,12)))</f>
        <v>46508</v>
      </c>
      <c r="C20" s="3">
        <v>3375000</v>
      </c>
      <c r="D20" s="53"/>
      <c r="E20" s="53"/>
      <c r="F20" s="54"/>
      <c r="G20" s="16">
        <f t="shared" si="6"/>
        <v>0</v>
      </c>
      <c r="H20" s="6">
        <f t="shared" si="0"/>
        <v>0</v>
      </c>
      <c r="I20" s="15">
        <f t="shared" si="1"/>
        <v>0</v>
      </c>
      <c r="J20" s="7">
        <f t="shared" si="2"/>
        <v>0</v>
      </c>
      <c r="K20" s="28">
        <f t="shared" si="3"/>
        <v>0</v>
      </c>
      <c r="L20" s="2">
        <f t="shared" si="4"/>
        <v>0</v>
      </c>
      <c r="M20" s="34" t="b">
        <f t="shared" si="5"/>
        <v>0</v>
      </c>
      <c r="P20" s="26"/>
      <c r="R20" s="3"/>
    </row>
    <row r="21" spans="1:18" x14ac:dyDescent="0.35">
      <c r="A21" s="36"/>
      <c r="B21" s="17">
        <f>IF(B20=0,0,IF($C$11=B20,0,EDATE(B20,12)))</f>
        <v>46874</v>
      </c>
      <c r="C21" s="3">
        <v>3375000</v>
      </c>
      <c r="D21" s="53"/>
      <c r="E21" s="53"/>
      <c r="F21" s="54"/>
      <c r="G21" s="16">
        <f t="shared" si="6"/>
        <v>0</v>
      </c>
      <c r="H21" s="6">
        <f t="shared" si="0"/>
        <v>0</v>
      </c>
      <c r="I21" s="15">
        <f t="shared" si="1"/>
        <v>0</v>
      </c>
      <c r="J21" s="7">
        <f t="shared" si="2"/>
        <v>0</v>
      </c>
      <c r="K21" s="28">
        <f t="shared" si="3"/>
        <v>0</v>
      </c>
      <c r="L21" s="2">
        <f t="shared" si="4"/>
        <v>0</v>
      </c>
      <c r="M21" s="34" t="b">
        <f t="shared" si="5"/>
        <v>0</v>
      </c>
      <c r="P21" s="26"/>
      <c r="R21" s="3"/>
    </row>
    <row r="22" spans="1:18" x14ac:dyDescent="0.35">
      <c r="A22" s="36"/>
      <c r="B22" s="17">
        <f>IF(B21=0,0,IF($C$11=B21,0,EDATE(B21,12)))</f>
        <v>47239</v>
      </c>
      <c r="C22" s="3">
        <v>3375000</v>
      </c>
      <c r="D22" s="53"/>
      <c r="E22" s="53"/>
      <c r="F22" s="54"/>
      <c r="G22" s="16">
        <f t="shared" si="6"/>
        <v>0</v>
      </c>
      <c r="H22" s="6">
        <f t="shared" si="0"/>
        <v>0</v>
      </c>
      <c r="I22" s="15">
        <f t="shared" si="1"/>
        <v>0</v>
      </c>
      <c r="J22" s="7">
        <f t="shared" si="2"/>
        <v>0</v>
      </c>
      <c r="K22" s="28">
        <f t="shared" si="3"/>
        <v>0</v>
      </c>
      <c r="L22" s="2">
        <f t="shared" si="4"/>
        <v>0</v>
      </c>
      <c r="M22" s="34" t="b">
        <f t="shared" si="5"/>
        <v>0</v>
      </c>
      <c r="P22" s="26"/>
      <c r="R22" s="3"/>
    </row>
    <row r="23" spans="1:18" x14ac:dyDescent="0.35">
      <c r="A23" s="36"/>
      <c r="B23" s="17">
        <f t="shared" ref="B23:B34" si="7">IF(B22=0,0,IF($C$11=B22,0,EDATE(B22,12)))</f>
        <v>47604</v>
      </c>
      <c r="C23" s="3">
        <v>3375000</v>
      </c>
      <c r="D23" s="53"/>
      <c r="E23" s="53"/>
      <c r="F23" s="54"/>
      <c r="G23" s="16">
        <f t="shared" si="6"/>
        <v>0</v>
      </c>
      <c r="H23" s="6">
        <f t="shared" si="0"/>
        <v>0</v>
      </c>
      <c r="I23" s="15">
        <f t="shared" si="1"/>
        <v>0</v>
      </c>
      <c r="J23" s="7">
        <f t="shared" si="2"/>
        <v>0</v>
      </c>
      <c r="K23" s="28">
        <f t="shared" si="3"/>
        <v>0</v>
      </c>
      <c r="L23" s="2">
        <f t="shared" si="4"/>
        <v>0</v>
      </c>
      <c r="M23" s="34" t="b">
        <f t="shared" si="5"/>
        <v>0</v>
      </c>
      <c r="R23" s="3"/>
    </row>
    <row r="24" spans="1:18" x14ac:dyDescent="0.35">
      <c r="A24" s="36"/>
      <c r="B24" s="17">
        <f>IF(B23=0,0,IF($C$11=B23,0,EDATE(B23,12)))</f>
        <v>47969</v>
      </c>
      <c r="C24" s="3">
        <v>3375000</v>
      </c>
      <c r="D24" s="53"/>
      <c r="E24" s="53"/>
      <c r="F24" s="54"/>
      <c r="G24" s="16">
        <f t="shared" si="6"/>
        <v>0</v>
      </c>
      <c r="H24" s="6">
        <f t="shared" si="0"/>
        <v>0</v>
      </c>
      <c r="I24" s="15">
        <f t="shared" si="1"/>
        <v>0</v>
      </c>
      <c r="J24" s="7">
        <f t="shared" si="2"/>
        <v>0</v>
      </c>
      <c r="K24" s="28">
        <f t="shared" si="3"/>
        <v>0</v>
      </c>
      <c r="L24" s="2">
        <f t="shared" si="4"/>
        <v>0</v>
      </c>
      <c r="M24" s="34" t="b">
        <f t="shared" si="5"/>
        <v>0</v>
      </c>
      <c r="R24" s="3"/>
    </row>
    <row r="25" spans="1:18" x14ac:dyDescent="0.35">
      <c r="A25" s="36"/>
      <c r="B25" s="17">
        <f>IF(B24=0,0,IF($C$11=B24,0,EDATE(B24,12)))</f>
        <v>48335</v>
      </c>
      <c r="C25" s="3">
        <v>3370000</v>
      </c>
      <c r="D25" s="53"/>
      <c r="E25" s="53"/>
      <c r="F25" s="54"/>
      <c r="G25" s="39">
        <f t="shared" si="6"/>
        <v>0</v>
      </c>
      <c r="H25" s="40">
        <f t="shared" si="0"/>
        <v>0</v>
      </c>
      <c r="I25" s="15">
        <f t="shared" si="1"/>
        <v>0</v>
      </c>
      <c r="J25" s="7">
        <f t="shared" si="2"/>
        <v>0</v>
      </c>
      <c r="K25" s="28">
        <f t="shared" si="3"/>
        <v>0</v>
      </c>
      <c r="L25" s="2">
        <f t="shared" si="4"/>
        <v>0</v>
      </c>
      <c r="M25" s="34" t="b">
        <f t="shared" si="5"/>
        <v>0</v>
      </c>
      <c r="R25" s="3"/>
    </row>
    <row r="26" spans="1:18" x14ac:dyDescent="0.35">
      <c r="A26" s="36"/>
      <c r="B26" s="17">
        <f>IF(B25=0,0,IF($C$11=B25,0,EDATE(B25,12)))</f>
        <v>48700</v>
      </c>
      <c r="C26" s="3">
        <v>3370000</v>
      </c>
      <c r="D26" s="53"/>
      <c r="E26" s="53"/>
      <c r="F26" s="54"/>
      <c r="G26" s="39">
        <f t="shared" si="6"/>
        <v>0</v>
      </c>
      <c r="H26" s="40">
        <f t="shared" si="0"/>
        <v>0</v>
      </c>
      <c r="I26" s="15">
        <f t="shared" si="1"/>
        <v>0</v>
      </c>
      <c r="J26" s="7">
        <f t="shared" si="2"/>
        <v>0</v>
      </c>
      <c r="K26" s="28">
        <f t="shared" si="3"/>
        <v>0</v>
      </c>
      <c r="L26" s="2">
        <f t="shared" si="4"/>
        <v>0</v>
      </c>
      <c r="M26" s="34" t="b">
        <f t="shared" si="5"/>
        <v>0</v>
      </c>
      <c r="R26" s="3"/>
    </row>
    <row r="27" spans="1:18" x14ac:dyDescent="0.35">
      <c r="A27" s="36"/>
      <c r="B27" s="17">
        <f t="shared" si="7"/>
        <v>49065</v>
      </c>
      <c r="C27" s="3">
        <v>3370000</v>
      </c>
      <c r="D27" s="53"/>
      <c r="E27" s="53"/>
      <c r="F27" s="54"/>
      <c r="G27" s="39">
        <f t="shared" si="6"/>
        <v>0</v>
      </c>
      <c r="H27" s="40">
        <f t="shared" si="0"/>
        <v>0</v>
      </c>
      <c r="I27" s="15">
        <f t="shared" si="1"/>
        <v>0</v>
      </c>
      <c r="J27" s="7">
        <f t="shared" si="2"/>
        <v>0</v>
      </c>
      <c r="K27" s="28">
        <f t="shared" si="3"/>
        <v>0</v>
      </c>
      <c r="L27" s="2">
        <f t="shared" si="4"/>
        <v>0</v>
      </c>
      <c r="M27" s="34" t="b">
        <f t="shared" si="5"/>
        <v>0</v>
      </c>
      <c r="R27" s="3"/>
    </row>
    <row r="28" spans="1:18" x14ac:dyDescent="0.35">
      <c r="A28" s="36"/>
      <c r="B28" s="17">
        <f>IF(B27=0,0,IF($C$11=B27,0,EDATE(B27,12)))</f>
        <v>49430</v>
      </c>
      <c r="C28" s="3">
        <v>3370000</v>
      </c>
      <c r="D28" s="53"/>
      <c r="E28" s="53"/>
      <c r="F28" s="54"/>
      <c r="G28" s="39">
        <f t="shared" si="6"/>
        <v>0</v>
      </c>
      <c r="H28" s="40">
        <f t="shared" si="0"/>
        <v>0</v>
      </c>
      <c r="I28" s="15">
        <f t="shared" si="1"/>
        <v>0</v>
      </c>
      <c r="J28" s="7">
        <f t="shared" si="2"/>
        <v>0</v>
      </c>
      <c r="K28" s="28">
        <f t="shared" si="3"/>
        <v>0</v>
      </c>
      <c r="L28" s="2">
        <f t="shared" si="4"/>
        <v>0</v>
      </c>
      <c r="M28" s="34" t="b">
        <f t="shared" si="5"/>
        <v>0</v>
      </c>
      <c r="R28" s="3"/>
    </row>
    <row r="29" spans="1:18" x14ac:dyDescent="0.35">
      <c r="A29" s="36"/>
      <c r="B29" s="17">
        <f t="shared" si="7"/>
        <v>49796</v>
      </c>
      <c r="C29" s="3">
        <v>3370000</v>
      </c>
      <c r="D29" s="53"/>
      <c r="E29" s="53"/>
      <c r="F29" s="54"/>
      <c r="G29" s="39">
        <f t="shared" si="6"/>
        <v>0</v>
      </c>
      <c r="H29" s="40">
        <f t="shared" si="0"/>
        <v>0</v>
      </c>
      <c r="I29" s="15">
        <f t="shared" si="1"/>
        <v>0</v>
      </c>
      <c r="J29" s="7">
        <f t="shared" si="2"/>
        <v>0</v>
      </c>
      <c r="K29" s="28">
        <f t="shared" si="3"/>
        <v>0</v>
      </c>
      <c r="L29" s="2">
        <f t="shared" si="4"/>
        <v>0</v>
      </c>
      <c r="M29" s="34" t="b">
        <f t="shared" si="5"/>
        <v>0</v>
      </c>
      <c r="R29" s="3"/>
    </row>
    <row r="30" spans="1:18" x14ac:dyDescent="0.35">
      <c r="A30" s="36"/>
      <c r="B30" s="17">
        <f t="shared" si="7"/>
        <v>50161</v>
      </c>
      <c r="C30" s="3">
        <v>3370000</v>
      </c>
      <c r="D30" s="53"/>
      <c r="E30" s="53"/>
      <c r="F30" s="54"/>
      <c r="G30" s="39">
        <f t="shared" si="6"/>
        <v>0</v>
      </c>
      <c r="H30" s="40">
        <f t="shared" si="0"/>
        <v>0</v>
      </c>
      <c r="I30" s="15">
        <f t="shared" si="1"/>
        <v>0</v>
      </c>
      <c r="J30" s="7">
        <f t="shared" si="2"/>
        <v>0</v>
      </c>
      <c r="K30" s="28">
        <f t="shared" si="3"/>
        <v>0</v>
      </c>
      <c r="L30" s="2">
        <f t="shared" si="4"/>
        <v>0</v>
      </c>
      <c r="M30" s="34" t="b">
        <f t="shared" si="5"/>
        <v>0</v>
      </c>
      <c r="R30" s="3"/>
    </row>
    <row r="31" spans="1:18" x14ac:dyDescent="0.35">
      <c r="A31" s="36"/>
      <c r="B31" s="17">
        <f>IF(B30=0,0,IF($C$11=B30,0,EDATE(B30,12)))</f>
        <v>50526</v>
      </c>
      <c r="C31" s="3">
        <v>3370000</v>
      </c>
      <c r="D31" s="53"/>
      <c r="E31" s="53"/>
      <c r="F31" s="54"/>
      <c r="G31" s="39">
        <f t="shared" si="6"/>
        <v>0</v>
      </c>
      <c r="H31" s="40">
        <f t="shared" si="0"/>
        <v>0</v>
      </c>
      <c r="I31" s="15">
        <f t="shared" si="1"/>
        <v>0</v>
      </c>
      <c r="J31" s="7">
        <f t="shared" si="2"/>
        <v>0</v>
      </c>
      <c r="K31" s="28">
        <f t="shared" si="3"/>
        <v>0</v>
      </c>
      <c r="L31" s="2">
        <f t="shared" si="4"/>
        <v>0</v>
      </c>
      <c r="M31" s="34" t="b">
        <f t="shared" si="5"/>
        <v>0</v>
      </c>
      <c r="R31" s="3"/>
    </row>
    <row r="32" spans="1:18" x14ac:dyDescent="0.35">
      <c r="A32" s="36"/>
      <c r="B32" s="17">
        <f t="shared" si="7"/>
        <v>50891</v>
      </c>
      <c r="C32" s="3">
        <v>3370000</v>
      </c>
      <c r="D32" s="53"/>
      <c r="E32" s="53"/>
      <c r="F32" s="54"/>
      <c r="G32" s="39">
        <f t="shared" si="6"/>
        <v>0</v>
      </c>
      <c r="H32" s="40">
        <f t="shared" si="0"/>
        <v>0</v>
      </c>
      <c r="I32" s="15">
        <f t="shared" si="1"/>
        <v>0</v>
      </c>
      <c r="J32" s="7">
        <f t="shared" si="2"/>
        <v>0</v>
      </c>
      <c r="K32" s="28">
        <f t="shared" si="3"/>
        <v>0</v>
      </c>
      <c r="L32" s="2">
        <f t="shared" si="4"/>
        <v>0</v>
      </c>
      <c r="M32" s="34" t="b">
        <f t="shared" si="5"/>
        <v>0</v>
      </c>
      <c r="R32" s="3"/>
    </row>
    <row r="33" spans="1:18" x14ac:dyDescent="0.35">
      <c r="A33" s="36"/>
      <c r="B33" s="17">
        <f t="shared" si="7"/>
        <v>51257</v>
      </c>
      <c r="C33" s="3">
        <v>3370000</v>
      </c>
      <c r="D33" s="53"/>
      <c r="E33" s="53"/>
      <c r="F33" s="54"/>
      <c r="G33" s="39">
        <f t="shared" si="6"/>
        <v>0</v>
      </c>
      <c r="H33" s="40">
        <f t="shared" si="0"/>
        <v>0</v>
      </c>
      <c r="I33" s="15">
        <f t="shared" si="1"/>
        <v>0</v>
      </c>
      <c r="J33" s="7">
        <f t="shared" si="2"/>
        <v>0</v>
      </c>
      <c r="K33" s="28">
        <f t="shared" si="3"/>
        <v>0</v>
      </c>
      <c r="L33" s="2">
        <f t="shared" si="4"/>
        <v>0</v>
      </c>
      <c r="M33" s="34" t="b">
        <f t="shared" si="5"/>
        <v>0</v>
      </c>
      <c r="R33" s="3"/>
    </row>
    <row r="34" spans="1:18" x14ac:dyDescent="0.35">
      <c r="A34" s="36"/>
      <c r="B34" s="17">
        <f t="shared" si="7"/>
        <v>51622</v>
      </c>
      <c r="C34" s="3">
        <v>3370000</v>
      </c>
      <c r="D34" s="53"/>
      <c r="E34" s="53"/>
      <c r="F34" s="54"/>
      <c r="G34" s="39">
        <f t="shared" si="6"/>
        <v>0</v>
      </c>
      <c r="H34" s="40">
        <f t="shared" si="0"/>
        <v>0</v>
      </c>
      <c r="I34" s="15">
        <f t="shared" si="1"/>
        <v>0</v>
      </c>
      <c r="J34" s="7">
        <f t="shared" si="2"/>
        <v>0</v>
      </c>
      <c r="K34" s="28">
        <f t="shared" si="3"/>
        <v>0</v>
      </c>
      <c r="L34" s="2">
        <f t="shared" si="4"/>
        <v>0</v>
      </c>
      <c r="M34" s="34" t="b">
        <f t="shared" si="5"/>
        <v>0</v>
      </c>
      <c r="R34" s="3"/>
    </row>
    <row r="35" spans="1:18" s="32" customFormat="1" x14ac:dyDescent="0.35">
      <c r="B35" s="37" t="s">
        <v>12</v>
      </c>
      <c r="C35" s="9">
        <f>SUM(C17:C34)</f>
        <v>60700000</v>
      </c>
      <c r="D35" s="52"/>
      <c r="E35" s="52"/>
      <c r="F35" s="52"/>
      <c r="G35" s="10"/>
      <c r="H35" s="11">
        <f>IF(C35=0,0,(((M35+C35)-C14*C35/1000)/C35*100))</f>
        <v>100</v>
      </c>
      <c r="I35" s="13"/>
      <c r="J35" s="13"/>
      <c r="K35" s="8"/>
      <c r="L35" s="12"/>
      <c r="M35" s="12">
        <f>SUM(M17:M34)</f>
        <v>0</v>
      </c>
    </row>
    <row r="36" spans="1:18" ht="15.5" x14ac:dyDescent="0.35">
      <c r="B36" s="50" t="s">
        <v>21</v>
      </c>
      <c r="C36" s="2"/>
      <c r="D36" s="5"/>
      <c r="E36" s="5"/>
      <c r="F36" s="5"/>
      <c r="G36" s="47"/>
      <c r="H36" s="48"/>
      <c r="I36" s="7"/>
      <c r="J36" s="7"/>
      <c r="K36" s="1"/>
      <c r="L36" s="2"/>
      <c r="M36" s="2"/>
    </row>
    <row r="37" spans="1:18" ht="15.5" x14ac:dyDescent="0.35">
      <c r="B37" s="50" t="s">
        <v>25</v>
      </c>
      <c r="C37" s="2"/>
      <c r="D37" s="5"/>
      <c r="E37" s="5"/>
      <c r="F37" s="5"/>
      <c r="G37" s="47"/>
      <c r="H37" s="48"/>
      <c r="I37" s="7"/>
      <c r="J37" s="7"/>
      <c r="K37" s="1"/>
      <c r="L37" s="2"/>
      <c r="M37" s="2"/>
    </row>
    <row r="38" spans="1:18" x14ac:dyDescent="0.35">
      <c r="C38" s="14"/>
      <c r="G38" s="47"/>
      <c r="H38" s="48"/>
    </row>
    <row r="39" spans="1:18" x14ac:dyDescent="0.35">
      <c r="G39" s="47"/>
      <c r="H39" s="48"/>
    </row>
    <row r="40" spans="1:18" x14ac:dyDescent="0.35">
      <c r="G40" s="47"/>
      <c r="H40" s="48"/>
    </row>
    <row r="41" spans="1:18" x14ac:dyDescent="0.35">
      <c r="G41" s="47"/>
      <c r="H41" s="48"/>
    </row>
    <row r="42" spans="1:18" x14ac:dyDescent="0.35">
      <c r="G42" s="47"/>
      <c r="H42" s="48"/>
    </row>
    <row r="43" spans="1:18" x14ac:dyDescent="0.35">
      <c r="G43" s="47"/>
      <c r="H43" s="48"/>
    </row>
    <row r="44" spans="1:18" x14ac:dyDescent="0.35">
      <c r="G44" s="47"/>
      <c r="H44" s="48"/>
    </row>
    <row r="45" spans="1:18" x14ac:dyDescent="0.35">
      <c r="G45" s="47"/>
      <c r="H45" s="48"/>
    </row>
    <row r="46" spans="1:18" x14ac:dyDescent="0.35">
      <c r="G46" s="47"/>
      <c r="H46" s="48"/>
    </row>
    <row r="47" spans="1:18" x14ac:dyDescent="0.35">
      <c r="G47" s="47"/>
      <c r="H47" s="48"/>
    </row>
    <row r="48" spans="1:18" x14ac:dyDescent="0.35">
      <c r="G48" s="47"/>
      <c r="H48" s="48"/>
    </row>
    <row r="49" spans="7:8" x14ac:dyDescent="0.35">
      <c r="G49" s="47"/>
      <c r="H49" s="48"/>
    </row>
    <row r="50" spans="7:8" x14ac:dyDescent="0.35">
      <c r="G50" s="47"/>
      <c r="H50" s="48"/>
    </row>
  </sheetData>
  <printOptions horizontalCentered="1"/>
  <pageMargins left="0.7" right="0.7" top="0.75" bottom="0.75" header="0.3" footer="0.3"/>
  <pageSetup scale="63" orientation="portrait" horizontalDpi="1200" verticalDpi="1200" r:id="rId1"/>
  <headerFoot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Series 2023A - Interim Refi</vt:lpstr>
      <vt:lpstr>Series 2023B - Public Health</vt:lpstr>
      <vt:lpstr>'Series 2023A - Interim Refi'!Print_Area</vt:lpstr>
      <vt:lpstr>'Series 2023B - Public Health'!Print_Area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Shoemaker</dc:creator>
  <cp:lastModifiedBy>Melissa England</cp:lastModifiedBy>
  <cp:lastPrinted>2017-11-06T13:09:30Z</cp:lastPrinted>
  <dcterms:created xsi:type="dcterms:W3CDTF">2015-08-07T19:09:33Z</dcterms:created>
  <dcterms:modified xsi:type="dcterms:W3CDTF">2022-12-02T21:25:53Z</dcterms:modified>
</cp:coreProperties>
</file>