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xl/comments13.xml" ContentType="application/vnd.openxmlformats-officedocument.spreadsheetml.comments+xml"/>
  <Override PartName="/xl/drawings/drawing15.xml" ContentType="application/vnd.openxmlformats-officedocument.drawing+xml"/>
  <Override PartName="/xl/comments14.xml" ContentType="application/vnd.openxmlformats-officedocument.spreadsheetml.comments+xml"/>
  <Override PartName="/xl/drawings/drawing16.xml" ContentType="application/vnd.openxmlformats-officedocument.drawing+xml"/>
  <Override PartName="/xl/comments15.xml" ContentType="application/vnd.openxmlformats-officedocument.spreadsheetml.comments+xml"/>
  <Override PartName="/xl/drawings/drawing17.xml" ContentType="application/vnd.openxmlformats-officedocument.drawing+xml"/>
  <Override PartName="/xl/comments16.xml" ContentType="application/vnd.openxmlformats-officedocument.spreadsheetml.comments+xml"/>
  <Override PartName="/xl/drawings/drawing18.xml" ContentType="application/vnd.openxmlformats-officedocument.drawing+xml"/>
  <Override PartName="/xl/comments17.xml" ContentType="application/vnd.openxmlformats-officedocument.spreadsheetml.comments+xml"/>
  <Override PartName="/xl/drawings/drawing19.xml" ContentType="application/vnd.openxmlformats-officedocument.drawing+xml"/>
  <Override PartName="/xl/comments18.xml" ContentType="application/vnd.openxmlformats-officedocument.spreadsheetml.comments+xml"/>
  <Override PartName="/xl/drawings/drawing20.xml" ContentType="application/vnd.openxmlformats-officedocument.drawing+xml"/>
  <Override PartName="/xl/comments19.xml" ContentType="application/vnd.openxmlformats-officedocument.spreadsheetml.comments+xml"/>
  <Override PartName="/xl/drawings/drawing21.xml" ContentType="application/vnd.openxmlformats-officedocument.drawing+xml"/>
  <Override PartName="/xl/comments20.xml" ContentType="application/vnd.openxmlformats-officedocument.spreadsheetml.comments+xml"/>
  <Override PartName="/xl/drawings/drawing22.xml" ContentType="application/vnd.openxmlformats-officedocument.drawing+xml"/>
  <Override PartName="/xl/comments21.xml" ContentType="application/vnd.openxmlformats-officedocument.spreadsheetml.comments+xml"/>
  <Override PartName="/xl/drawings/drawing23.xml" ContentType="application/vnd.openxmlformats-officedocument.drawing+xml"/>
  <Override PartName="/xl/comments22.xml" ContentType="application/vnd.openxmlformats-officedocument.spreadsheetml.comments+xml"/>
  <Override PartName="/xl/drawings/drawing2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defaultThemeVersion="124226"/>
  <mc:AlternateContent xmlns:mc="http://schemas.openxmlformats.org/markup-compatibility/2006">
    <mc:Choice Requires="x15">
      <x15ac:absPath xmlns:x15ac="http://schemas.microsoft.com/office/spreadsheetml/2010/11/ac" url="S:\WATERSHED MANAGEMENT\PROJECTS\Moccasin\"/>
    </mc:Choice>
  </mc:AlternateContent>
  <xr:revisionPtr revIDLastSave="0" documentId="13_ncr:1_{9889D339-0FBE-4D6B-906C-59489A0D396F}" xr6:coauthVersionLast="45" xr6:coauthVersionMax="45" xr10:uidLastSave="{00000000-0000-0000-0000-000000000000}"/>
  <workbookProtection workbookPassword="E421" lockStructure="1"/>
  <bookViews>
    <workbookView xWindow="-120" yWindow="-120" windowWidth="29040" windowHeight="15840" tabRatio="636" firstSheet="1" activeTab="2" xr2:uid="{00000000-000D-0000-FFFF-FFFF00000000}"/>
  </bookViews>
  <sheets>
    <sheet name="Version Changes" sheetId="115" state="hidden" r:id="rId1"/>
    <sheet name="TOOL DIRECTIONS" sheetId="10" r:id="rId2"/>
    <sheet name="SITE DATA" sheetId="1" r:id="rId3"/>
    <sheet name="DA1" sheetId="2" r:id="rId4"/>
    <sheet name="DA2" sheetId="116" r:id="rId5"/>
    <sheet name="DA3" sheetId="117" r:id="rId6"/>
    <sheet name="DA4" sheetId="118" r:id="rId7"/>
    <sheet name="DA5" sheetId="119" r:id="rId8"/>
    <sheet name="DA6" sheetId="120" r:id="rId9"/>
    <sheet name="DA7" sheetId="121" r:id="rId10"/>
    <sheet name="DA8" sheetId="122" r:id="rId11"/>
    <sheet name="DA9" sheetId="123" r:id="rId12"/>
    <sheet name="DA10" sheetId="124" r:id="rId13"/>
    <sheet name="SITE SUMMARY" sheetId="3" r:id="rId14"/>
    <sheet name="DA1_BMPs" sheetId="34" r:id="rId15"/>
    <sheet name="DA2_BMPs" sheetId="136" r:id="rId16"/>
    <sheet name="DA3_BMPs" sheetId="135" r:id="rId17"/>
    <sheet name="DA4_BMPs" sheetId="132" r:id="rId18"/>
    <sheet name="DA5_BMPs" sheetId="134" r:id="rId19"/>
    <sheet name="DA6_BMPs" sheetId="129" r:id="rId20"/>
    <sheet name="DA7_BMPs" sheetId="131" r:id="rId21"/>
    <sheet name="DA8_BMPs" sheetId="130" r:id="rId22"/>
    <sheet name="DA9_BMPs" sheetId="125" r:id="rId23"/>
    <sheet name="DA10_BMPs" sheetId="128" r:id="rId24"/>
    <sheet name="BMP SUMMARY" sheetId="36" r:id="rId25"/>
    <sheet name="LID SUMMARY" sheetId="22" r:id="rId26"/>
    <sheet name="DIA" sheetId="114" r:id="rId27"/>
    <sheet name="CALCULATIONS and TABLES" sheetId="5" r:id="rId28"/>
  </sheets>
  <definedNames>
    <definedName name="BIORETENTION" localSheetId="23">DA10_BMPs!$B$122</definedName>
    <definedName name="BIORETENTION" localSheetId="15">DA2_BMPs!$B$122</definedName>
    <definedName name="BIORETENTION" localSheetId="16">DA3_BMPs!$B$122</definedName>
    <definedName name="BIORETENTION" localSheetId="17">DA4_BMPs!$B$122</definedName>
    <definedName name="BIORETENTION" localSheetId="18">DA5_BMPs!$B$122</definedName>
    <definedName name="BIORETENTION" localSheetId="19">DA6_BMPs!$B$122</definedName>
    <definedName name="BIORETENTION" localSheetId="20">DA7_BMPs!$B$122</definedName>
    <definedName name="BIORETENTION" localSheetId="21">DA8_BMPs!$B$122</definedName>
    <definedName name="BIORETENTION" localSheetId="22">DA9_BMPs!$B$122</definedName>
    <definedName name="BIORETENTION">DA1_BMPs!$B$122</definedName>
    <definedName name="BMP" localSheetId="23">DA10_BMPs!$B$121:$C$134</definedName>
    <definedName name="BMP" localSheetId="15">DA2_BMPs!$B$121:$C$134</definedName>
    <definedName name="BMP" localSheetId="16">DA3_BMPs!$B$121:$C$134</definedName>
    <definedName name="BMP" localSheetId="17">DA4_BMPs!$B$121:$C$134</definedName>
    <definedName name="BMP" localSheetId="18">DA5_BMPs!$B$121:$C$134</definedName>
    <definedName name="BMP" localSheetId="19">DA6_BMPs!$B$121:$C$134</definedName>
    <definedName name="BMP" localSheetId="20">DA7_BMPs!$B$121:$C$134</definedName>
    <definedName name="BMP" localSheetId="21">DA8_BMPs!$B$121:$C$134</definedName>
    <definedName name="BMP" localSheetId="22">DA9_BMPs!$B$121:$C$134</definedName>
    <definedName name="BMP">DA1_BMPs!$B$121:$C$134</definedName>
    <definedName name="CHANNEL">'CALCULATIONS and TABLES'!$I$103:$N$121</definedName>
    <definedName name="Cistern" localSheetId="23">DA10_BMPs!$L$105:$L$106</definedName>
    <definedName name="Cistern" localSheetId="15">DA2_BMPs!$L$105:$L$106</definedName>
    <definedName name="Cistern" localSheetId="16">DA3_BMPs!$L$105:$L$106</definedName>
    <definedName name="Cistern" localSheetId="17">DA4_BMPs!$L$105:$L$106</definedName>
    <definedName name="Cistern" localSheetId="18">DA5_BMPs!$L$105:$L$106</definedName>
    <definedName name="Cistern" localSheetId="19">DA6_BMPs!$L$105:$L$106</definedName>
    <definedName name="Cistern" localSheetId="20">DA7_BMPs!$L$105:$L$106</definedName>
    <definedName name="Cistern" localSheetId="21">DA8_BMPs!$L$105:$L$106</definedName>
    <definedName name="Cistern" localSheetId="22">DA9_BMPs!$L$105:$L$106</definedName>
    <definedName name="Cistern">DA1_BMPs!$L$105:$L$106</definedName>
    <definedName name="CN" localSheetId="23">DA10_BMPs!$H$120:$I$181</definedName>
    <definedName name="CN" localSheetId="15">DA2_BMPs!$H$120:$I$181</definedName>
    <definedName name="CN" localSheetId="16">DA3_BMPs!$H$120:$I$181</definedName>
    <definedName name="CN" localSheetId="17">DA4_BMPs!$H$120:$I$181</definedName>
    <definedName name="CN" localSheetId="18">DA5_BMPs!$H$120:$I$181</definedName>
    <definedName name="CN" localSheetId="19">DA6_BMPs!$H$120:$I$181</definedName>
    <definedName name="CN" localSheetId="20">DA7_BMPs!$H$120:$I$181</definedName>
    <definedName name="CN" localSheetId="21">DA8_BMPs!$H$120:$I$181</definedName>
    <definedName name="CN" localSheetId="22">DA9_BMPs!$H$120:$I$181</definedName>
    <definedName name="CN">DA1_BMPs!$H$120:$I$181</definedName>
    <definedName name="CN10YR" localSheetId="23">DA10_BMPs!$L$120:$M$181</definedName>
    <definedName name="CN10YR" localSheetId="15">DA2_BMPs!$L$120:$M$181</definedName>
    <definedName name="CN10YR" localSheetId="16">DA3_BMPs!$L$120:$M$181</definedName>
    <definedName name="CN10YR" localSheetId="17">DA4_BMPs!$L$120:$M$181</definedName>
    <definedName name="CN10YR" localSheetId="18">DA5_BMPs!$L$120:$M$181</definedName>
    <definedName name="CN10YR" localSheetId="19">DA6_BMPs!$L$120:$M$181</definedName>
    <definedName name="CN10YR" localSheetId="20">DA7_BMPs!$L$120:$M$181</definedName>
    <definedName name="CN10YR" localSheetId="21">DA8_BMPs!$L$120:$M$181</definedName>
    <definedName name="CN10YR" localSheetId="22">DA9_BMPs!$L$120:$M$181</definedName>
    <definedName name="CN10YR">DA1_BMPs!$L$120:$M$181</definedName>
    <definedName name="CN2YR" localSheetId="23">DA10_BMPs!$J$120:$K$181</definedName>
    <definedName name="CN2YR" localSheetId="15">DA2_BMPs!$J$120:$K$181</definedName>
    <definedName name="CN2YR" localSheetId="16">DA3_BMPs!$J$120:$K$181</definedName>
    <definedName name="CN2YR" localSheetId="17">DA4_BMPs!$J$120:$K$181</definedName>
    <definedName name="CN2YR" localSheetId="18">DA5_BMPs!$J$120:$K$181</definedName>
    <definedName name="CN2YR" localSheetId="19">DA6_BMPs!$J$120:$K$181</definedName>
    <definedName name="CN2YR" localSheetId="20">DA7_BMPs!$J$120:$K$181</definedName>
    <definedName name="CN2YR" localSheetId="21">DA8_BMPs!$J$120:$K$181</definedName>
    <definedName name="CN2YR" localSheetId="22">DA9_BMPs!$J$120:$K$181</definedName>
    <definedName name="CN2YR">DA1_BMPs!$J$120:$K$181</definedName>
    <definedName name="DED_BASIN" localSheetId="23">DA10_BMPs!$B$130</definedName>
    <definedName name="DED_BASIN" localSheetId="15">DA2_BMPs!$B$130</definedName>
    <definedName name="DED_BASIN" localSheetId="16">DA3_BMPs!$B$130</definedName>
    <definedName name="DED_BASIN" localSheetId="17">DA4_BMPs!$B$130</definedName>
    <definedName name="DED_BASIN" localSheetId="18">DA5_BMPs!$B$130</definedName>
    <definedName name="DED_BASIN" localSheetId="19">DA6_BMPs!$B$130</definedName>
    <definedName name="DED_BASIN" localSheetId="20">DA7_BMPs!$B$130</definedName>
    <definedName name="DED_BASIN" localSheetId="21">DA8_BMPs!$B$130</definedName>
    <definedName name="DED_BASIN" localSheetId="22">DA9_BMPs!$B$130</definedName>
    <definedName name="DED_BASIN">DA1_BMPs!$B$130</definedName>
    <definedName name="DIA" localSheetId="23">DA10_BMPs!$K$120:$L$181</definedName>
    <definedName name="DIA" localSheetId="15">DA2_BMPs!$K$120:$L$181</definedName>
    <definedName name="DIA" localSheetId="16">DA3_BMPs!$K$120:$L$181</definedName>
    <definedName name="DIA" localSheetId="17">DA4_BMPs!$K$120:$L$181</definedName>
    <definedName name="DIA" localSheetId="18">DA5_BMPs!$K$120:$L$181</definedName>
    <definedName name="DIA" localSheetId="19">DA6_BMPs!$K$120:$L$181</definedName>
    <definedName name="DIA" localSheetId="20">DA7_BMPs!$K$120:$L$181</definedName>
    <definedName name="DIA" localSheetId="21">DA8_BMPs!$K$120:$L$181</definedName>
    <definedName name="DIA" localSheetId="22">DA9_BMPs!$K$120:$L$181</definedName>
    <definedName name="DIA">DA1_BMPs!$K$120:$L$181</definedName>
    <definedName name="Disconnected">'CALCULATIONS and TABLES'!$C$135:$H$144</definedName>
    <definedName name="Discrete">'CALCULATIONS and TABLES'!$F$47</definedName>
    <definedName name="F_STRIP" localSheetId="23">DA10_BMPs!$B$126</definedName>
    <definedName name="F_STRIP" localSheetId="15">DA2_BMPs!$B$126</definedName>
    <definedName name="F_STRIP" localSheetId="16">DA3_BMPs!$B$126</definedName>
    <definedName name="F_STRIP" localSheetId="17">DA4_BMPs!$B$126</definedName>
    <definedName name="F_STRIP" localSheetId="18">DA5_BMPs!$B$126</definedName>
    <definedName name="F_STRIP" localSheetId="19">DA6_BMPs!$B$126</definedName>
    <definedName name="F_STRIP" localSheetId="20">DA7_BMPs!$B$126</definedName>
    <definedName name="F_STRIP" localSheetId="21">DA8_BMPs!$B$126</definedName>
    <definedName name="F_STRIP" localSheetId="22">DA9_BMPs!$B$126</definedName>
    <definedName name="F_STRIP">DA1_BMPs!$B$126</definedName>
    <definedName name="G_SWALE" localSheetId="23">DA10_BMPs!$B$127</definedName>
    <definedName name="G_SWALE" localSheetId="15">DA2_BMPs!$B$127</definedName>
    <definedName name="G_SWALE" localSheetId="16">DA3_BMPs!$B$127</definedName>
    <definedName name="G_SWALE" localSheetId="17">DA4_BMPs!$B$127</definedName>
    <definedName name="G_SWALE" localSheetId="18">DA5_BMPs!$B$127</definedName>
    <definedName name="G_SWALE" localSheetId="19">DA6_BMPs!$B$127</definedName>
    <definedName name="G_SWALE" localSheetId="20">DA7_BMPs!$B$127</definedName>
    <definedName name="G_SWALE" localSheetId="21">DA8_BMPs!$B$127</definedName>
    <definedName name="G_SWALE" localSheetId="22">DA9_BMPs!$B$127</definedName>
    <definedName name="G_SWALE">DA1_BMPs!$B$127</definedName>
    <definedName name="hd">'CALCULATIONS and TABLES'!$F$47:$L$54</definedName>
    <definedName name="I_DEVICE" localSheetId="23">DA10_BMPs!$B$129</definedName>
    <definedName name="I_DEVICE" localSheetId="15">DA2_BMPs!$B$129</definedName>
    <definedName name="I_DEVICE" localSheetId="16">DA3_BMPs!$B$129</definedName>
    <definedName name="I_DEVICE" localSheetId="17">DA4_BMPs!$B$129</definedName>
    <definedName name="I_DEVICE" localSheetId="18">DA5_BMPs!$B$129</definedName>
    <definedName name="I_DEVICE" localSheetId="19">DA6_BMPs!$B$129</definedName>
    <definedName name="I_DEVICE" localSheetId="20">DA7_BMPs!$B$129</definedName>
    <definedName name="I_DEVICE" localSheetId="21">DA8_BMPs!$B$129</definedName>
    <definedName name="I_DEVICE" localSheetId="22">DA9_BMPs!$B$129</definedName>
    <definedName name="I_DEVICE">DA1_BMPs!$B$129</definedName>
    <definedName name="LID" localSheetId="23">DA10_BMPs!$I$120:$J$181</definedName>
    <definedName name="LID" localSheetId="15">DA2_BMPs!$I$120:$J$181</definedName>
    <definedName name="LID" localSheetId="16">DA3_BMPs!$I$120:$J$181</definedName>
    <definedName name="LID" localSheetId="17">DA4_BMPs!$I$120:$J$181</definedName>
    <definedName name="LID" localSheetId="18">DA5_BMPs!$I$120:$J$181</definedName>
    <definedName name="LID" localSheetId="19">DA6_BMPs!$I$120:$J$181</definedName>
    <definedName name="LID" localSheetId="20">DA7_BMPs!$I$120:$J$181</definedName>
    <definedName name="LID" localSheetId="21">DA8_BMPs!$I$120:$J$181</definedName>
    <definedName name="LID" localSheetId="22">DA9_BMPs!$I$120:$J$181</definedName>
    <definedName name="LID">DA1_BMPs!$I$120:$J$181</definedName>
    <definedName name="n" localSheetId="23">#REF!</definedName>
    <definedName name="n" localSheetId="15">#REF!</definedName>
    <definedName name="n" localSheetId="16">#REF!</definedName>
    <definedName name="n" localSheetId="17">#REF!</definedName>
    <definedName name="n" localSheetId="18">#REF!</definedName>
    <definedName name="n" localSheetId="19">#REF!</definedName>
    <definedName name="n" localSheetId="20">#REF!</definedName>
    <definedName name="n" localSheetId="21">#REF!</definedName>
    <definedName name="n" localSheetId="22">#REF!</definedName>
    <definedName name="n">#REF!</definedName>
    <definedName name="N_lb">'SITE SUMMARY'!$D$54</definedName>
    <definedName name="Other" localSheetId="23">DA10_BMPs!$I$120:$J$181</definedName>
    <definedName name="Other" localSheetId="15">DA2_BMPs!$I$120:$J$181</definedName>
    <definedName name="Other" localSheetId="16">DA3_BMPs!$I$120:$J$181</definedName>
    <definedName name="Other" localSheetId="17">DA4_BMPs!$I$120:$J$181</definedName>
    <definedName name="Other" localSheetId="18">DA5_BMPs!$I$120:$J$181</definedName>
    <definedName name="Other" localSheetId="19">DA6_BMPs!$I$120:$J$181</definedName>
    <definedName name="Other" localSheetId="20">DA7_BMPs!$I$120:$J$181</definedName>
    <definedName name="Other" localSheetId="21">DA8_BMPs!$I$120:$J$181</definedName>
    <definedName name="Other" localSheetId="22">DA9_BMPs!$I$120:$J$181</definedName>
    <definedName name="Other">DA1_BMPs!$I$120:$J$181</definedName>
    <definedName name="P_PAVEMENT" localSheetId="23">DA10_BMPs!$B$131</definedName>
    <definedName name="P_PAVEMENT" localSheetId="15">DA2_BMPs!$B$131</definedName>
    <definedName name="P_PAVEMENT" localSheetId="16">DA3_BMPs!$B$131</definedName>
    <definedName name="P_PAVEMENT" localSheetId="17">DA4_BMPs!$B$131</definedName>
    <definedName name="P_PAVEMENT" localSheetId="18">DA5_BMPs!$B$131</definedName>
    <definedName name="P_PAVEMENT" localSheetId="19">DA6_BMPs!$B$131</definedName>
    <definedName name="P_PAVEMENT" localSheetId="20">DA7_BMPs!$B$131</definedName>
    <definedName name="P_PAVEMENT" localSheetId="21">DA8_BMPs!$B$131</definedName>
    <definedName name="P_PAVEMENT" localSheetId="22">DA9_BMPs!$B$131</definedName>
    <definedName name="P_PAVEMENT">DA1_BMPs!$B$131</definedName>
    <definedName name="PEAK">'CALCULATIONS and TABLES'!$C$57:$N$73</definedName>
    <definedName name="PPT">'SITE DATA'!$C$26:$E$28</definedName>
    <definedName name="_xlnm.Print_Area" localSheetId="24">'BMP SUMMARY'!$B$1:$L$24</definedName>
    <definedName name="_xlnm.Print_Area" localSheetId="27">'CALCULATIONS and TABLES'!$B$2:$P$152</definedName>
    <definedName name="_xlnm.Print_Area" localSheetId="3">'DA1'!$B$1:$K$94</definedName>
    <definedName name="_xlnm.Print_Area" localSheetId="14">DA1_BMPs!$B$1:$M$93</definedName>
    <definedName name="_xlnm.Print_Area" localSheetId="12">'DA10'!$B$1:$K$94</definedName>
    <definedName name="_xlnm.Print_Area" localSheetId="23">DA10_BMPs!$B$1:$M$93</definedName>
    <definedName name="_xlnm.Print_Area" localSheetId="4">'DA2'!$B$1:$K$94</definedName>
    <definedName name="_xlnm.Print_Area" localSheetId="15">DA2_BMPs!$B$1:$M$93</definedName>
    <definedName name="_xlnm.Print_Area" localSheetId="5">'DA3'!$B$1:$K$94</definedName>
    <definedName name="_xlnm.Print_Area" localSheetId="16">DA3_BMPs!$B$1:$M$93</definedName>
    <definedName name="_xlnm.Print_Area" localSheetId="6">'DA4'!$B$1:$K$94</definedName>
    <definedName name="_xlnm.Print_Area" localSheetId="17">DA4_BMPs!$B$1:$M$93</definedName>
    <definedName name="_xlnm.Print_Area" localSheetId="7">'DA5'!$B$1:$K$94</definedName>
    <definedName name="_xlnm.Print_Area" localSheetId="18">DA5_BMPs!$B$1:$M$93</definedName>
    <definedName name="_xlnm.Print_Area" localSheetId="8">'DA6'!$B$1:$K$94</definedName>
    <definedName name="_xlnm.Print_Area" localSheetId="19">DA6_BMPs!$B$1:$M$93</definedName>
    <definedName name="_xlnm.Print_Area" localSheetId="9">'DA7'!$B$1:$K$94</definedName>
    <definedName name="_xlnm.Print_Area" localSheetId="20">DA7_BMPs!$B$1:$M$93</definedName>
    <definedName name="_xlnm.Print_Area" localSheetId="10">'DA8'!$B$1:$K$94</definedName>
    <definedName name="_xlnm.Print_Area" localSheetId="21">DA8_BMPs!$B$1:$M$93</definedName>
    <definedName name="_xlnm.Print_Area" localSheetId="11">'DA9'!$B$1:$K$94</definedName>
    <definedName name="_xlnm.Print_Area" localSheetId="22">DA9_BMPs!$B$1:$M$93</definedName>
    <definedName name="_xlnm.Print_Area" localSheetId="26">DIA!$B$1:$L$16</definedName>
    <definedName name="_xlnm.Print_Area" localSheetId="25">'LID SUMMARY'!$B$1:$L$60</definedName>
    <definedName name="_xlnm.Print_Area" localSheetId="2">'SITE DATA'!$B$1:$M$71</definedName>
    <definedName name="_xlnm.Print_Area" localSheetId="13">'SITE SUMMARY'!$B$1:$L$67</definedName>
    <definedName name="_xlnm.Print_Area" localSheetId="1">'TOOL DIRECTIONS'!$C$1:$F$28</definedName>
    <definedName name="_xlnm.Print_Titles" localSheetId="3">'DA1'!$1:$7</definedName>
    <definedName name="_xlnm.Print_Titles" localSheetId="14">DA1_BMPs!$1:$7</definedName>
    <definedName name="_xlnm.Print_Titles" localSheetId="12">'DA10'!$1:$7</definedName>
    <definedName name="_xlnm.Print_Titles" localSheetId="23">DA10_BMPs!$1:$7</definedName>
    <definedName name="_xlnm.Print_Titles" localSheetId="4">'DA2'!$1:$7</definedName>
    <definedName name="_xlnm.Print_Titles" localSheetId="15">DA2_BMPs!$1:$7</definedName>
    <definedName name="_xlnm.Print_Titles" localSheetId="5">'DA3'!$1:$7</definedName>
    <definedName name="_xlnm.Print_Titles" localSheetId="16">DA3_BMPs!$1:$7</definedName>
    <definedName name="_xlnm.Print_Titles" localSheetId="6">'DA4'!$1:$7</definedName>
    <definedName name="_xlnm.Print_Titles" localSheetId="17">DA4_BMPs!$1:$7</definedName>
    <definedName name="_xlnm.Print_Titles" localSheetId="7">'DA5'!$1:$7</definedName>
    <definedName name="_xlnm.Print_Titles" localSheetId="18">DA5_BMPs!$1:$7</definedName>
    <definedName name="_xlnm.Print_Titles" localSheetId="8">'DA6'!$1:$7</definedName>
    <definedName name="_xlnm.Print_Titles" localSheetId="19">DA6_BMPs!$1:$7</definedName>
    <definedName name="_xlnm.Print_Titles" localSheetId="9">'DA7'!$1:$7</definedName>
    <definedName name="_xlnm.Print_Titles" localSheetId="20">DA7_BMPs!$1:$7</definedName>
    <definedName name="_xlnm.Print_Titles" localSheetId="10">'DA8'!$1:$7</definedName>
    <definedName name="_xlnm.Print_Titles" localSheetId="21">DA8_BMPs!$1:$7</definedName>
    <definedName name="_xlnm.Print_Titles" localSheetId="11">'DA9'!$1:$7</definedName>
    <definedName name="_xlnm.Print_Titles" localSheetId="22">DA9_BMPs!$1:$7</definedName>
    <definedName name="_xlnm.Print_Titles" localSheetId="13">'SITE SUMMARY'!$1:$7</definedName>
    <definedName name="ROOFTOP" localSheetId="23">DA10_BMPs!$B$132</definedName>
    <definedName name="ROOFTOP" localSheetId="15">DA2_BMPs!$B$132</definedName>
    <definedName name="ROOFTOP" localSheetId="16">DA3_BMPs!$B$132</definedName>
    <definedName name="ROOFTOP" localSheetId="17">DA4_BMPs!$B$132</definedName>
    <definedName name="ROOFTOP" localSheetId="18">DA5_BMPs!$B$132</definedName>
    <definedName name="ROOFTOP" localSheetId="19">DA6_BMPs!$B$132</definedName>
    <definedName name="ROOFTOP" localSheetId="20">DA7_BMPs!$B$132</definedName>
    <definedName name="ROOFTOP" localSheetId="21">DA8_BMPs!$B$132</definedName>
    <definedName name="ROOFTOP" localSheetId="22">DA9_BMPs!$B$132</definedName>
    <definedName name="ROOFTOP">DA1_BMPs!$B$132</definedName>
    <definedName name="RR_BUFFER" localSheetId="23">DA10_BMPs!$B$128</definedName>
    <definedName name="RR_BUFFER" localSheetId="15">DA2_BMPs!$B$128</definedName>
    <definedName name="RR_BUFFER" localSheetId="16">DA3_BMPs!$B$128</definedName>
    <definedName name="RR_BUFFER" localSheetId="17">DA4_BMPs!$B$128</definedName>
    <definedName name="RR_BUFFER" localSheetId="18">DA5_BMPs!$B$128</definedName>
    <definedName name="RR_BUFFER" localSheetId="19">DA6_BMPs!$B$128</definedName>
    <definedName name="RR_BUFFER" localSheetId="20">DA7_BMPs!$B$128</definedName>
    <definedName name="RR_BUFFER" localSheetId="21">DA8_BMPs!$B$128</definedName>
    <definedName name="RR_BUFFER" localSheetId="22">DA9_BMPs!$B$128</definedName>
    <definedName name="RR_BUFFER">DA1_BMPs!$B$128</definedName>
    <definedName name="S_FILTER" localSheetId="23">DA10_BMPs!$B$125</definedName>
    <definedName name="S_FILTER" localSheetId="15">DA2_BMPs!$B$125</definedName>
    <definedName name="S_FILTER" localSheetId="16">DA3_BMPs!$B$125</definedName>
    <definedName name="S_FILTER" localSheetId="17">DA4_BMPs!$B$125</definedName>
    <definedName name="S_FILTER" localSheetId="18">DA5_BMPs!$B$125</definedName>
    <definedName name="S_FILTER" localSheetId="19">DA6_BMPs!$B$125</definedName>
    <definedName name="S_FILTER" localSheetId="20">DA7_BMPs!$B$125</definedName>
    <definedName name="S_FILTER" localSheetId="21">DA8_BMPs!$B$125</definedName>
    <definedName name="S_FILTER" localSheetId="22">DA9_BMPs!$B$125</definedName>
    <definedName name="S_FILTER">DA1_BMPs!$B$125</definedName>
    <definedName name="SCS">'CALCULATIONS and TABLES'!$F$36:$L$45</definedName>
    <definedName name="SHALLOW">'CALCULATIONS and TABLES'!$I$88:$N$102</definedName>
    <definedName name="SHEET">'CALCULATIONS and TABLES'!$C$88:$H$101</definedName>
    <definedName name="SW_WETLANDS" localSheetId="23">DA10_BMPs!$B$123</definedName>
    <definedName name="SW_WETLANDS" localSheetId="15">DA2_BMPs!$B$123</definedName>
    <definedName name="SW_WETLANDS" localSheetId="16">DA3_BMPs!$B$123</definedName>
    <definedName name="SW_WETLANDS" localSheetId="17">DA4_BMPs!$B$123</definedName>
    <definedName name="SW_WETLANDS" localSheetId="18">DA5_BMPs!$B$123</definedName>
    <definedName name="SW_WETLANDS" localSheetId="19">DA6_BMPs!$B$123</definedName>
    <definedName name="SW_WETLANDS" localSheetId="20">DA7_BMPs!$B$123</definedName>
    <definedName name="SW_WETLANDS" localSheetId="21">DA8_BMPs!$B$123</definedName>
    <definedName name="SW_WETLANDS" localSheetId="22">DA9_BMPs!$B$123</definedName>
    <definedName name="SW_WETLANDS">DA1_BMPs!$B$123</definedName>
    <definedName name="Tc">'CALCULATIONS and TABLES'!$C$76:$N$87</definedName>
    <definedName name="TCN">'CALCULATIONS and TABLES'!$D$5:$N$10</definedName>
    <definedName name="WCN">'CALCULATIONS and TABLES'!$D$12:$N$33</definedName>
    <definedName name="WD_POND" localSheetId="23">DA10_BMPs!$B$124</definedName>
    <definedName name="WD_POND" localSheetId="15">DA2_BMPs!$B$124</definedName>
    <definedName name="WD_POND" localSheetId="16">DA3_BMPs!$B$124</definedName>
    <definedName name="WD_POND" localSheetId="17">DA4_BMPs!$B$124</definedName>
    <definedName name="WD_POND" localSheetId="18">DA5_BMPs!$B$124</definedName>
    <definedName name="WD_POND" localSheetId="19">DA6_BMPs!$B$124</definedName>
    <definedName name="WD_POND" localSheetId="20">DA7_BMPs!$B$124</definedName>
    <definedName name="WD_POND" localSheetId="21">DA8_BMPs!$B$124</definedName>
    <definedName name="WD_POND" localSheetId="22">DA9_BMPs!$B$124</definedName>
    <definedName name="WD_POND">DA1_BMPs!$B$124</definedName>
    <definedName name="yes">'SITE DATA'!$D$75:$D$76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73" i="128" l="1"/>
  <c r="J72" i="128"/>
  <c r="J71" i="128"/>
  <c r="J70" i="128"/>
  <c r="J69" i="128"/>
  <c r="J63" i="128"/>
  <c r="J62" i="128"/>
  <c r="J61" i="128"/>
  <c r="J60" i="128"/>
  <c r="J59" i="128"/>
  <c r="J53" i="128"/>
  <c r="J52" i="128"/>
  <c r="J51" i="128"/>
  <c r="J50" i="128"/>
  <c r="J49" i="128"/>
  <c r="J43" i="128"/>
  <c r="J42" i="128"/>
  <c r="J41" i="128"/>
  <c r="J40" i="128"/>
  <c r="J39" i="128"/>
  <c r="J33" i="128"/>
  <c r="J32" i="128"/>
  <c r="J31" i="128"/>
  <c r="J30" i="128"/>
  <c r="J29" i="128"/>
  <c r="J73" i="125"/>
  <c r="J72" i="125"/>
  <c r="J71" i="125"/>
  <c r="J70" i="125"/>
  <c r="J69" i="125"/>
  <c r="J63" i="125"/>
  <c r="J62" i="125"/>
  <c r="J61" i="125"/>
  <c r="J60" i="125"/>
  <c r="J59" i="125"/>
  <c r="J53" i="125"/>
  <c r="J52" i="125"/>
  <c r="J51" i="125"/>
  <c r="J50" i="125"/>
  <c r="J49" i="125"/>
  <c r="J43" i="125"/>
  <c r="J42" i="125"/>
  <c r="J41" i="125"/>
  <c r="J40" i="125"/>
  <c r="J39" i="125"/>
  <c r="J33" i="125"/>
  <c r="J32" i="125"/>
  <c r="J31" i="125"/>
  <c r="J30" i="125"/>
  <c r="J29" i="125"/>
  <c r="J73" i="130"/>
  <c r="J72" i="130"/>
  <c r="J71" i="130"/>
  <c r="J70" i="130"/>
  <c r="J69" i="130"/>
  <c r="J63" i="130"/>
  <c r="J62" i="130"/>
  <c r="J61" i="130"/>
  <c r="J60" i="130"/>
  <c r="J59" i="130"/>
  <c r="J53" i="130"/>
  <c r="J52" i="130"/>
  <c r="J51" i="130"/>
  <c r="J50" i="130"/>
  <c r="J49" i="130"/>
  <c r="J43" i="130"/>
  <c r="J42" i="130"/>
  <c r="J41" i="130"/>
  <c r="J40" i="130"/>
  <c r="J39" i="130"/>
  <c r="J33" i="130"/>
  <c r="J32" i="130"/>
  <c r="J31" i="130"/>
  <c r="J30" i="130"/>
  <c r="J29" i="130"/>
  <c r="J73" i="131"/>
  <c r="J72" i="131"/>
  <c r="J71" i="131"/>
  <c r="J70" i="131"/>
  <c r="J69" i="131"/>
  <c r="J63" i="131"/>
  <c r="J62" i="131"/>
  <c r="J61" i="131"/>
  <c r="J60" i="131"/>
  <c r="J59" i="131"/>
  <c r="J53" i="131"/>
  <c r="J52" i="131"/>
  <c r="J51" i="131"/>
  <c r="J50" i="131"/>
  <c r="J49" i="131"/>
  <c r="J43" i="131"/>
  <c r="J42" i="131"/>
  <c r="J41" i="131"/>
  <c r="J40" i="131"/>
  <c r="J39" i="131"/>
  <c r="J33" i="131"/>
  <c r="J32" i="131"/>
  <c r="J31" i="131"/>
  <c r="J30" i="131"/>
  <c r="J29" i="131"/>
  <c r="J73" i="129"/>
  <c r="J72" i="129"/>
  <c r="J71" i="129"/>
  <c r="J70" i="129"/>
  <c r="J69" i="129"/>
  <c r="J63" i="129"/>
  <c r="J62" i="129"/>
  <c r="J61" i="129"/>
  <c r="J60" i="129"/>
  <c r="J59" i="129"/>
  <c r="J53" i="129"/>
  <c r="J52" i="129"/>
  <c r="J51" i="129"/>
  <c r="J50" i="129"/>
  <c r="J49" i="129"/>
  <c r="J43" i="129"/>
  <c r="J42" i="129"/>
  <c r="J41" i="129"/>
  <c r="J40" i="129"/>
  <c r="J39" i="129"/>
  <c r="J33" i="129"/>
  <c r="J32" i="129"/>
  <c r="J31" i="129"/>
  <c r="J30" i="129"/>
  <c r="J29" i="129"/>
  <c r="J73" i="134"/>
  <c r="J72" i="134"/>
  <c r="J71" i="134"/>
  <c r="J70" i="134"/>
  <c r="J69" i="134"/>
  <c r="J63" i="134"/>
  <c r="J62" i="134"/>
  <c r="J61" i="134"/>
  <c r="J60" i="134"/>
  <c r="J59" i="134"/>
  <c r="J53" i="134"/>
  <c r="J52" i="134"/>
  <c r="J51" i="134"/>
  <c r="J50" i="134"/>
  <c r="J49" i="134"/>
  <c r="J43" i="134"/>
  <c r="J42" i="134"/>
  <c r="J41" i="134"/>
  <c r="J40" i="134"/>
  <c r="J39" i="134"/>
  <c r="J33" i="134"/>
  <c r="J32" i="134"/>
  <c r="J31" i="134"/>
  <c r="J30" i="134"/>
  <c r="J29" i="134"/>
  <c r="J73" i="132"/>
  <c r="J72" i="132"/>
  <c r="J71" i="132"/>
  <c r="J70" i="132"/>
  <c r="J69" i="132"/>
  <c r="J63" i="132"/>
  <c r="J62" i="132"/>
  <c r="J61" i="132"/>
  <c r="J60" i="132"/>
  <c r="J59" i="132"/>
  <c r="J53" i="132"/>
  <c r="J52" i="132"/>
  <c r="J51" i="132"/>
  <c r="J50" i="132"/>
  <c r="J49" i="132"/>
  <c r="J43" i="132"/>
  <c r="J42" i="132"/>
  <c r="J41" i="132"/>
  <c r="J40" i="132"/>
  <c r="J39" i="132"/>
  <c r="J33" i="132"/>
  <c r="J32" i="132"/>
  <c r="J31" i="132"/>
  <c r="J30" i="132"/>
  <c r="J29" i="132"/>
  <c r="J73" i="135"/>
  <c r="J72" i="135"/>
  <c r="J71" i="135"/>
  <c r="J70" i="135"/>
  <c r="J69" i="135"/>
  <c r="J63" i="135"/>
  <c r="J62" i="135"/>
  <c r="J61" i="135"/>
  <c r="J60" i="135"/>
  <c r="J59" i="135"/>
  <c r="J53" i="135"/>
  <c r="J52" i="135"/>
  <c r="J51" i="135"/>
  <c r="J50" i="135"/>
  <c r="J49" i="135"/>
  <c r="J43" i="135"/>
  <c r="J42" i="135"/>
  <c r="J41" i="135"/>
  <c r="J40" i="135"/>
  <c r="J39" i="135"/>
  <c r="J33" i="135"/>
  <c r="J32" i="135"/>
  <c r="J31" i="135"/>
  <c r="J30" i="135"/>
  <c r="J29" i="135"/>
  <c r="J73" i="136"/>
  <c r="J72" i="136"/>
  <c r="J71" i="136"/>
  <c r="J70" i="136"/>
  <c r="J69" i="136"/>
  <c r="J63" i="136"/>
  <c r="J62" i="136"/>
  <c r="J61" i="136"/>
  <c r="J60" i="136"/>
  <c r="J59" i="136"/>
  <c r="J53" i="136"/>
  <c r="J52" i="136"/>
  <c r="J51" i="136"/>
  <c r="J50" i="136"/>
  <c r="J49" i="136"/>
  <c r="J43" i="136"/>
  <c r="J42" i="136"/>
  <c r="J41" i="136"/>
  <c r="J40" i="136"/>
  <c r="J39" i="136"/>
  <c r="J33" i="136"/>
  <c r="J32" i="136"/>
  <c r="J31" i="136"/>
  <c r="J30" i="136"/>
  <c r="J29" i="136"/>
  <c r="D76" i="34"/>
  <c r="D149" i="34"/>
  <c r="F32" i="3" l="1"/>
  <c r="F31" i="3"/>
  <c r="F30" i="3"/>
  <c r="F29" i="3"/>
  <c r="C57" i="3"/>
  <c r="H57" i="3" l="1"/>
  <c r="C59" i="3" s="1"/>
  <c r="G33" i="3"/>
  <c r="L15" i="114"/>
  <c r="K15" i="114"/>
  <c r="J15" i="114"/>
  <c r="I15" i="114"/>
  <c r="H15" i="114"/>
  <c r="G15" i="114"/>
  <c r="F15" i="114"/>
  <c r="E15" i="114"/>
  <c r="D15" i="114"/>
  <c r="L18" i="22"/>
  <c r="K18" i="22"/>
  <c r="J18" i="22"/>
  <c r="I18" i="22"/>
  <c r="H18" i="22"/>
  <c r="G18" i="22"/>
  <c r="F18" i="22"/>
  <c r="E18" i="22"/>
  <c r="D18" i="22"/>
  <c r="L20" i="22"/>
  <c r="K20" i="22"/>
  <c r="J20" i="22"/>
  <c r="I20" i="22"/>
  <c r="H20" i="22"/>
  <c r="G20" i="22"/>
  <c r="F20" i="22"/>
  <c r="E20" i="22"/>
  <c r="D20" i="22"/>
  <c r="G51" i="3"/>
  <c r="G44" i="3"/>
  <c r="G45" i="3"/>
  <c r="G46" i="3"/>
  <c r="G47" i="3"/>
  <c r="G48" i="3"/>
  <c r="G49" i="3"/>
  <c r="G50" i="3"/>
  <c r="G43" i="3"/>
  <c r="C60" i="3" l="1"/>
  <c r="C58" i="3"/>
  <c r="H29" i="3"/>
  <c r="D165" i="128"/>
  <c r="D166" i="128" s="1"/>
  <c r="D167" i="128" s="1"/>
  <c r="E167" i="128" s="1"/>
  <c r="D161" i="128"/>
  <c r="D162" i="128" s="1"/>
  <c r="D163" i="128" s="1"/>
  <c r="E163" i="128" s="1"/>
  <c r="D157" i="128"/>
  <c r="D158" i="128" s="1"/>
  <c r="D159" i="128" s="1"/>
  <c r="E159" i="128" s="1"/>
  <c r="D153" i="128"/>
  <c r="D154" i="128" s="1"/>
  <c r="D155" i="128" s="1"/>
  <c r="E155" i="128" s="1"/>
  <c r="D149" i="128"/>
  <c r="D150" i="128" s="1"/>
  <c r="D151" i="128" s="1"/>
  <c r="E151" i="128" s="1"/>
  <c r="D165" i="125"/>
  <c r="D166" i="125" s="1"/>
  <c r="D167" i="125" s="1"/>
  <c r="E167" i="125" s="1"/>
  <c r="D161" i="125"/>
  <c r="D162" i="125" s="1"/>
  <c r="D163" i="125" s="1"/>
  <c r="E163" i="125" s="1"/>
  <c r="D157" i="125"/>
  <c r="D158" i="125" s="1"/>
  <c r="D159" i="125" s="1"/>
  <c r="E159" i="125" s="1"/>
  <c r="D153" i="125"/>
  <c r="D154" i="125" s="1"/>
  <c r="D155" i="125" s="1"/>
  <c r="E155" i="125" s="1"/>
  <c r="D149" i="125"/>
  <c r="D150" i="125" s="1"/>
  <c r="D151" i="125" s="1"/>
  <c r="E151" i="125" s="1"/>
  <c r="D165" i="130"/>
  <c r="D166" i="130" s="1"/>
  <c r="D167" i="130" s="1"/>
  <c r="E167" i="130" s="1"/>
  <c r="D161" i="130"/>
  <c r="D162" i="130" s="1"/>
  <c r="D163" i="130" s="1"/>
  <c r="E163" i="130" s="1"/>
  <c r="D157" i="130"/>
  <c r="D158" i="130" s="1"/>
  <c r="D159" i="130" s="1"/>
  <c r="E159" i="130" s="1"/>
  <c r="D153" i="130"/>
  <c r="D154" i="130" s="1"/>
  <c r="D155" i="130" s="1"/>
  <c r="E155" i="130" s="1"/>
  <c r="D149" i="130"/>
  <c r="D150" i="130" s="1"/>
  <c r="D151" i="130" s="1"/>
  <c r="E151" i="130" s="1"/>
  <c r="D165" i="131"/>
  <c r="D166" i="131" s="1"/>
  <c r="D167" i="131" s="1"/>
  <c r="E167" i="131" s="1"/>
  <c r="D161" i="131"/>
  <c r="D162" i="131" s="1"/>
  <c r="D163" i="131" s="1"/>
  <c r="E163" i="131" s="1"/>
  <c r="D157" i="131"/>
  <c r="D158" i="131" s="1"/>
  <c r="D159" i="131" s="1"/>
  <c r="E159" i="131" s="1"/>
  <c r="D153" i="131"/>
  <c r="D154" i="131" s="1"/>
  <c r="D155" i="131" s="1"/>
  <c r="E155" i="131" s="1"/>
  <c r="D149" i="131"/>
  <c r="D150" i="131" s="1"/>
  <c r="D151" i="131" s="1"/>
  <c r="E151" i="131" s="1"/>
  <c r="D165" i="129"/>
  <c r="D166" i="129" s="1"/>
  <c r="D167" i="129" s="1"/>
  <c r="E167" i="129" s="1"/>
  <c r="D161" i="129"/>
  <c r="D162" i="129" s="1"/>
  <c r="D163" i="129" s="1"/>
  <c r="E163" i="129" s="1"/>
  <c r="D157" i="129"/>
  <c r="D158" i="129" s="1"/>
  <c r="D159" i="129" s="1"/>
  <c r="E159" i="129" s="1"/>
  <c r="D153" i="129"/>
  <c r="D154" i="129" s="1"/>
  <c r="D155" i="129" s="1"/>
  <c r="E155" i="129" s="1"/>
  <c r="D149" i="129"/>
  <c r="D150" i="129" s="1"/>
  <c r="D151" i="129" s="1"/>
  <c r="E151" i="129" s="1"/>
  <c r="D165" i="134"/>
  <c r="D166" i="134" s="1"/>
  <c r="D167" i="134" s="1"/>
  <c r="E167" i="134" s="1"/>
  <c r="D161" i="134"/>
  <c r="D162" i="134" s="1"/>
  <c r="D163" i="134" s="1"/>
  <c r="E163" i="134" s="1"/>
  <c r="D157" i="134"/>
  <c r="D158" i="134" s="1"/>
  <c r="D159" i="134" s="1"/>
  <c r="E159" i="134" s="1"/>
  <c r="D153" i="134"/>
  <c r="D154" i="134" s="1"/>
  <c r="D155" i="134" s="1"/>
  <c r="E155" i="134" s="1"/>
  <c r="D149" i="134"/>
  <c r="D150" i="134" s="1"/>
  <c r="D151" i="134" s="1"/>
  <c r="E151" i="134" s="1"/>
  <c r="D165" i="132"/>
  <c r="D166" i="132" s="1"/>
  <c r="D167" i="132" s="1"/>
  <c r="E167" i="132" s="1"/>
  <c r="D161" i="132"/>
  <c r="D162" i="132" s="1"/>
  <c r="D163" i="132" s="1"/>
  <c r="E163" i="132" s="1"/>
  <c r="D157" i="132"/>
  <c r="D158" i="132" s="1"/>
  <c r="D159" i="132" s="1"/>
  <c r="E159" i="132" s="1"/>
  <c r="D153" i="132"/>
  <c r="D154" i="132" s="1"/>
  <c r="D155" i="132" s="1"/>
  <c r="E155" i="132" s="1"/>
  <c r="D149" i="132"/>
  <c r="D150" i="132" s="1"/>
  <c r="D151" i="132" s="1"/>
  <c r="E151" i="132" s="1"/>
  <c r="D165" i="135"/>
  <c r="D166" i="135" s="1"/>
  <c r="D167" i="135" s="1"/>
  <c r="E167" i="135" s="1"/>
  <c r="D161" i="135"/>
  <c r="D162" i="135" s="1"/>
  <c r="D163" i="135" s="1"/>
  <c r="E163" i="135" s="1"/>
  <c r="D157" i="135"/>
  <c r="D158" i="135" s="1"/>
  <c r="D159" i="135" s="1"/>
  <c r="E159" i="135" s="1"/>
  <c r="D153" i="135"/>
  <c r="D154" i="135" s="1"/>
  <c r="D155" i="135" s="1"/>
  <c r="E155" i="135" s="1"/>
  <c r="D149" i="135"/>
  <c r="D150" i="135" s="1"/>
  <c r="D151" i="135" s="1"/>
  <c r="E151" i="135" s="1"/>
  <c r="D165" i="136"/>
  <c r="D166" i="136" s="1"/>
  <c r="D167" i="136" s="1"/>
  <c r="E167" i="136" s="1"/>
  <c r="D161" i="136"/>
  <c r="D162" i="136" s="1"/>
  <c r="D163" i="136" s="1"/>
  <c r="E163" i="136" s="1"/>
  <c r="D157" i="136"/>
  <c r="D158" i="136" s="1"/>
  <c r="D159" i="136" s="1"/>
  <c r="E159" i="136" s="1"/>
  <c r="D153" i="136"/>
  <c r="D154" i="136" s="1"/>
  <c r="D155" i="136" s="1"/>
  <c r="E155" i="136" s="1"/>
  <c r="D149" i="136"/>
  <c r="D150" i="136" s="1"/>
  <c r="D151" i="136" s="1"/>
  <c r="E151" i="136" s="1"/>
  <c r="D165" i="34"/>
  <c r="D161" i="34"/>
  <c r="D157" i="34"/>
  <c r="D153" i="34"/>
  <c r="L13" i="3"/>
  <c r="K13" i="3"/>
  <c r="J13" i="3"/>
  <c r="I13" i="3"/>
  <c r="H13" i="3"/>
  <c r="G13" i="3"/>
  <c r="F13" i="3"/>
  <c r="E13" i="3"/>
  <c r="D13" i="3"/>
  <c r="L19" i="36" l="1"/>
  <c r="L17" i="36"/>
  <c r="K19" i="36"/>
  <c r="K17" i="36"/>
  <c r="J19" i="36"/>
  <c r="J17" i="36"/>
  <c r="I19" i="36"/>
  <c r="I17" i="36"/>
  <c r="H19" i="36"/>
  <c r="H17" i="36"/>
  <c r="G19" i="36"/>
  <c r="G17" i="36"/>
  <c r="F19" i="36"/>
  <c r="F17" i="36"/>
  <c r="E19" i="36"/>
  <c r="E17" i="36"/>
  <c r="D19" i="36"/>
  <c r="D17" i="36"/>
  <c r="C10" i="128"/>
  <c r="C9" i="128"/>
  <c r="C10" i="125"/>
  <c r="C9" i="125"/>
  <c r="C10" i="130"/>
  <c r="C9" i="130"/>
  <c r="N25" i="130" s="1"/>
  <c r="C10" i="131"/>
  <c r="C9" i="131"/>
  <c r="C10" i="129"/>
  <c r="C9" i="129"/>
  <c r="C10" i="134"/>
  <c r="C9" i="134"/>
  <c r="C10" i="132"/>
  <c r="C9" i="132"/>
  <c r="N25" i="132" s="1"/>
  <c r="C10" i="135"/>
  <c r="C9" i="135"/>
  <c r="N25" i="135" s="1"/>
  <c r="E108" i="136"/>
  <c r="E107" i="136"/>
  <c r="C10" i="136"/>
  <c r="C9" i="136"/>
  <c r="N25" i="136" s="1"/>
  <c r="C134" i="136"/>
  <c r="M132" i="136"/>
  <c r="M133" i="136" s="1"/>
  <c r="M134" i="136" s="1"/>
  <c r="M135" i="136" s="1"/>
  <c r="M136" i="136" s="1"/>
  <c r="M137" i="136" s="1"/>
  <c r="M138" i="136" s="1"/>
  <c r="M139" i="136" s="1"/>
  <c r="M140" i="136" s="1"/>
  <c r="M141" i="136" s="1"/>
  <c r="M142" i="136" s="1"/>
  <c r="M143" i="136" s="1"/>
  <c r="M144" i="136" s="1"/>
  <c r="M145" i="136" s="1"/>
  <c r="M146" i="136" s="1"/>
  <c r="M147" i="136" s="1"/>
  <c r="M148" i="136" s="1"/>
  <c r="M149" i="136" s="1"/>
  <c r="M150" i="136" s="1"/>
  <c r="M151" i="136" s="1"/>
  <c r="M152" i="136" s="1"/>
  <c r="M153" i="136" s="1"/>
  <c r="M154" i="136" s="1"/>
  <c r="M155" i="136" s="1"/>
  <c r="M156" i="136" s="1"/>
  <c r="M157" i="136" s="1"/>
  <c r="M158" i="136" s="1"/>
  <c r="M159" i="136" s="1"/>
  <c r="M160" i="136" s="1"/>
  <c r="M161" i="136" s="1"/>
  <c r="M162" i="136" s="1"/>
  <c r="M163" i="136" s="1"/>
  <c r="M164" i="136" s="1"/>
  <c r="M165" i="136" s="1"/>
  <c r="M166" i="136" s="1"/>
  <c r="M167" i="136" s="1"/>
  <c r="M168" i="136" s="1"/>
  <c r="M169" i="136" s="1"/>
  <c r="M170" i="136" s="1"/>
  <c r="M171" i="136" s="1"/>
  <c r="M172" i="136" s="1"/>
  <c r="M173" i="136" s="1"/>
  <c r="M174" i="136" s="1"/>
  <c r="M175" i="136" s="1"/>
  <c r="M176" i="136" s="1"/>
  <c r="M177" i="136" s="1"/>
  <c r="M178" i="136" s="1"/>
  <c r="M179" i="136" s="1"/>
  <c r="M180" i="136" s="1"/>
  <c r="M181" i="136" s="1"/>
  <c r="M131" i="136"/>
  <c r="K131" i="136"/>
  <c r="K132" i="136" s="1"/>
  <c r="K133" i="136" s="1"/>
  <c r="K134" i="136" s="1"/>
  <c r="K135" i="136" s="1"/>
  <c r="K136" i="136" s="1"/>
  <c r="K137" i="136" s="1"/>
  <c r="K138" i="136" s="1"/>
  <c r="K139" i="136" s="1"/>
  <c r="K140" i="136" s="1"/>
  <c r="K141" i="136" s="1"/>
  <c r="K142" i="136" s="1"/>
  <c r="K143" i="136" s="1"/>
  <c r="K144" i="136" s="1"/>
  <c r="K145" i="136" s="1"/>
  <c r="K146" i="136" s="1"/>
  <c r="K147" i="136" s="1"/>
  <c r="K148" i="136" s="1"/>
  <c r="K149" i="136" s="1"/>
  <c r="K150" i="136" s="1"/>
  <c r="K151" i="136" s="1"/>
  <c r="K152" i="136" s="1"/>
  <c r="K153" i="136" s="1"/>
  <c r="K154" i="136" s="1"/>
  <c r="K155" i="136" s="1"/>
  <c r="K156" i="136" s="1"/>
  <c r="K157" i="136" s="1"/>
  <c r="K158" i="136" s="1"/>
  <c r="K159" i="136" s="1"/>
  <c r="K160" i="136" s="1"/>
  <c r="K161" i="136" s="1"/>
  <c r="K162" i="136" s="1"/>
  <c r="K163" i="136" s="1"/>
  <c r="K164" i="136" s="1"/>
  <c r="K165" i="136" s="1"/>
  <c r="K166" i="136" s="1"/>
  <c r="K167" i="136" s="1"/>
  <c r="K168" i="136" s="1"/>
  <c r="K169" i="136" s="1"/>
  <c r="K170" i="136" s="1"/>
  <c r="K171" i="136" s="1"/>
  <c r="K172" i="136" s="1"/>
  <c r="K173" i="136" s="1"/>
  <c r="K174" i="136" s="1"/>
  <c r="K175" i="136" s="1"/>
  <c r="K176" i="136" s="1"/>
  <c r="K177" i="136" s="1"/>
  <c r="K178" i="136" s="1"/>
  <c r="K179" i="136" s="1"/>
  <c r="K180" i="136" s="1"/>
  <c r="K181" i="136" s="1"/>
  <c r="I131" i="136"/>
  <c r="G131" i="136" s="1"/>
  <c r="G130" i="136"/>
  <c r="J130" i="136" s="1"/>
  <c r="G129" i="136"/>
  <c r="J129" i="136" s="1"/>
  <c r="G128" i="136"/>
  <c r="J128" i="136" s="1"/>
  <c r="G127" i="136"/>
  <c r="J127" i="136" s="1"/>
  <c r="G126" i="136"/>
  <c r="J126" i="136" s="1"/>
  <c r="G125" i="136"/>
  <c r="J125" i="136" s="1"/>
  <c r="G124" i="136"/>
  <c r="J124" i="136" s="1"/>
  <c r="G123" i="136"/>
  <c r="J123" i="136" s="1"/>
  <c r="G122" i="136"/>
  <c r="J122" i="136" s="1"/>
  <c r="G121" i="136"/>
  <c r="J121" i="136" s="1"/>
  <c r="I113" i="136"/>
  <c r="H113" i="136"/>
  <c r="G113" i="136"/>
  <c r="F113" i="136"/>
  <c r="I112" i="136"/>
  <c r="H112" i="136"/>
  <c r="G112" i="136"/>
  <c r="F112" i="136"/>
  <c r="I111" i="136"/>
  <c r="H111" i="136"/>
  <c r="G111" i="136"/>
  <c r="F111" i="136"/>
  <c r="I110" i="136"/>
  <c r="H110" i="136"/>
  <c r="G110" i="136"/>
  <c r="F110" i="136"/>
  <c r="I109" i="136"/>
  <c r="H109" i="136"/>
  <c r="G109" i="136"/>
  <c r="F109" i="136"/>
  <c r="I108" i="136"/>
  <c r="H108" i="136"/>
  <c r="G108" i="136"/>
  <c r="F108" i="136"/>
  <c r="I107" i="136"/>
  <c r="H107" i="136"/>
  <c r="G107" i="136"/>
  <c r="F107" i="136"/>
  <c r="I106" i="136"/>
  <c r="H106" i="136"/>
  <c r="G106" i="136"/>
  <c r="F106" i="136"/>
  <c r="I105" i="136"/>
  <c r="H105" i="136"/>
  <c r="G105" i="136"/>
  <c r="F105" i="136"/>
  <c r="F114" i="136" s="1"/>
  <c r="K39" i="136" s="1"/>
  <c r="D76" i="136"/>
  <c r="M26" i="136"/>
  <c r="L26" i="136"/>
  <c r="K26" i="136"/>
  <c r="J26" i="136"/>
  <c r="I26" i="136"/>
  <c r="H26" i="136"/>
  <c r="G26" i="136"/>
  <c r="F26" i="136"/>
  <c r="E26" i="136"/>
  <c r="E112" i="136"/>
  <c r="E111" i="136"/>
  <c r="E110" i="136"/>
  <c r="E109" i="136"/>
  <c r="E106" i="136"/>
  <c r="M12" i="136"/>
  <c r="L12" i="136"/>
  <c r="K12" i="136"/>
  <c r="J12" i="136"/>
  <c r="I12" i="136"/>
  <c r="H12" i="136"/>
  <c r="G12" i="136"/>
  <c r="F12" i="136"/>
  <c r="E12" i="136"/>
  <c r="D12" i="136"/>
  <c r="F1" i="136"/>
  <c r="C134" i="135"/>
  <c r="M131" i="135"/>
  <c r="M132" i="135" s="1"/>
  <c r="M133" i="135" s="1"/>
  <c r="M134" i="135" s="1"/>
  <c r="M135" i="135" s="1"/>
  <c r="M136" i="135" s="1"/>
  <c r="M137" i="135" s="1"/>
  <c r="M138" i="135" s="1"/>
  <c r="M139" i="135" s="1"/>
  <c r="M140" i="135" s="1"/>
  <c r="M141" i="135" s="1"/>
  <c r="M142" i="135" s="1"/>
  <c r="M143" i="135" s="1"/>
  <c r="M144" i="135" s="1"/>
  <c r="M145" i="135" s="1"/>
  <c r="M146" i="135" s="1"/>
  <c r="M147" i="135" s="1"/>
  <c r="M148" i="135" s="1"/>
  <c r="M149" i="135" s="1"/>
  <c r="M150" i="135" s="1"/>
  <c r="M151" i="135" s="1"/>
  <c r="M152" i="135" s="1"/>
  <c r="M153" i="135" s="1"/>
  <c r="M154" i="135" s="1"/>
  <c r="M155" i="135" s="1"/>
  <c r="M156" i="135" s="1"/>
  <c r="M157" i="135" s="1"/>
  <c r="M158" i="135" s="1"/>
  <c r="M159" i="135" s="1"/>
  <c r="M160" i="135" s="1"/>
  <c r="M161" i="135" s="1"/>
  <c r="M162" i="135" s="1"/>
  <c r="M163" i="135" s="1"/>
  <c r="M164" i="135" s="1"/>
  <c r="M165" i="135" s="1"/>
  <c r="M166" i="135" s="1"/>
  <c r="M167" i="135" s="1"/>
  <c r="M168" i="135" s="1"/>
  <c r="M169" i="135" s="1"/>
  <c r="M170" i="135" s="1"/>
  <c r="M171" i="135" s="1"/>
  <c r="M172" i="135" s="1"/>
  <c r="M173" i="135" s="1"/>
  <c r="M174" i="135" s="1"/>
  <c r="M175" i="135" s="1"/>
  <c r="M176" i="135" s="1"/>
  <c r="M177" i="135" s="1"/>
  <c r="M178" i="135" s="1"/>
  <c r="M179" i="135" s="1"/>
  <c r="M180" i="135" s="1"/>
  <c r="M181" i="135" s="1"/>
  <c r="K131" i="135"/>
  <c r="K132" i="135" s="1"/>
  <c r="K133" i="135" s="1"/>
  <c r="K134" i="135" s="1"/>
  <c r="K135" i="135" s="1"/>
  <c r="K136" i="135" s="1"/>
  <c r="K137" i="135" s="1"/>
  <c r="K138" i="135" s="1"/>
  <c r="K139" i="135" s="1"/>
  <c r="K140" i="135" s="1"/>
  <c r="K141" i="135" s="1"/>
  <c r="K142" i="135" s="1"/>
  <c r="K143" i="135" s="1"/>
  <c r="K144" i="135" s="1"/>
  <c r="K145" i="135" s="1"/>
  <c r="K146" i="135" s="1"/>
  <c r="K147" i="135" s="1"/>
  <c r="K148" i="135" s="1"/>
  <c r="K149" i="135" s="1"/>
  <c r="K150" i="135" s="1"/>
  <c r="K151" i="135" s="1"/>
  <c r="K152" i="135" s="1"/>
  <c r="K153" i="135" s="1"/>
  <c r="K154" i="135" s="1"/>
  <c r="K155" i="135" s="1"/>
  <c r="K156" i="135" s="1"/>
  <c r="K157" i="135" s="1"/>
  <c r="K158" i="135" s="1"/>
  <c r="K159" i="135" s="1"/>
  <c r="K160" i="135" s="1"/>
  <c r="K161" i="135" s="1"/>
  <c r="K162" i="135" s="1"/>
  <c r="K163" i="135" s="1"/>
  <c r="K164" i="135" s="1"/>
  <c r="K165" i="135" s="1"/>
  <c r="K166" i="135" s="1"/>
  <c r="K167" i="135" s="1"/>
  <c r="K168" i="135" s="1"/>
  <c r="K169" i="135" s="1"/>
  <c r="K170" i="135" s="1"/>
  <c r="K171" i="135" s="1"/>
  <c r="K172" i="135" s="1"/>
  <c r="K173" i="135" s="1"/>
  <c r="K174" i="135" s="1"/>
  <c r="K175" i="135" s="1"/>
  <c r="K176" i="135" s="1"/>
  <c r="K177" i="135" s="1"/>
  <c r="K178" i="135" s="1"/>
  <c r="K179" i="135" s="1"/>
  <c r="K180" i="135" s="1"/>
  <c r="K181" i="135" s="1"/>
  <c r="I131" i="135"/>
  <c r="G131" i="135" s="1"/>
  <c r="G130" i="135"/>
  <c r="H130" i="135" s="1"/>
  <c r="G129" i="135"/>
  <c r="H129" i="135" s="1"/>
  <c r="G128" i="135"/>
  <c r="H128" i="135" s="1"/>
  <c r="G127" i="135"/>
  <c r="H127" i="135" s="1"/>
  <c r="G126" i="135"/>
  <c r="H126" i="135" s="1"/>
  <c r="G125" i="135"/>
  <c r="H125" i="135" s="1"/>
  <c r="G124" i="135"/>
  <c r="H124" i="135" s="1"/>
  <c r="G123" i="135"/>
  <c r="H123" i="135" s="1"/>
  <c r="G122" i="135"/>
  <c r="H122" i="135" s="1"/>
  <c r="G121" i="135"/>
  <c r="H121" i="135" s="1"/>
  <c r="I113" i="135"/>
  <c r="H113" i="135"/>
  <c r="G113" i="135"/>
  <c r="F113" i="135"/>
  <c r="I112" i="135"/>
  <c r="H112" i="135"/>
  <c r="G112" i="135"/>
  <c r="F112" i="135"/>
  <c r="I111" i="135"/>
  <c r="H111" i="135"/>
  <c r="G111" i="135"/>
  <c r="F111" i="135"/>
  <c r="I110" i="135"/>
  <c r="H110" i="135"/>
  <c r="G110" i="135"/>
  <c r="F110" i="135"/>
  <c r="I109" i="135"/>
  <c r="H109" i="135"/>
  <c r="G109" i="135"/>
  <c r="F109" i="135"/>
  <c r="I108" i="135"/>
  <c r="H108" i="135"/>
  <c r="G108" i="135"/>
  <c r="F108" i="135"/>
  <c r="I107" i="135"/>
  <c r="H107" i="135"/>
  <c r="G107" i="135"/>
  <c r="F107" i="135"/>
  <c r="I106" i="135"/>
  <c r="H106" i="135"/>
  <c r="G106" i="135"/>
  <c r="F106" i="135"/>
  <c r="I105" i="135"/>
  <c r="H105" i="135"/>
  <c r="H114" i="135" s="1"/>
  <c r="K59" i="135" s="1"/>
  <c r="G105" i="135"/>
  <c r="F105" i="135"/>
  <c r="D76" i="135"/>
  <c r="M26" i="135"/>
  <c r="L26" i="135"/>
  <c r="K26" i="135"/>
  <c r="J26" i="135"/>
  <c r="I26" i="135"/>
  <c r="H26" i="135"/>
  <c r="G26" i="135"/>
  <c r="F26" i="135"/>
  <c r="E26" i="135"/>
  <c r="E112" i="135"/>
  <c r="E111" i="135"/>
  <c r="E110" i="135"/>
  <c r="E109" i="135"/>
  <c r="E108" i="135"/>
  <c r="E107" i="135"/>
  <c r="D26" i="135"/>
  <c r="M12" i="135"/>
  <c r="L12" i="135"/>
  <c r="K12" i="135"/>
  <c r="J12" i="135"/>
  <c r="I12" i="135"/>
  <c r="H12" i="135"/>
  <c r="G12" i="135"/>
  <c r="F12" i="135"/>
  <c r="E12" i="135"/>
  <c r="D12" i="135"/>
  <c r="F1" i="135"/>
  <c r="C134" i="134"/>
  <c r="M131" i="134"/>
  <c r="M132" i="134" s="1"/>
  <c r="M133" i="134" s="1"/>
  <c r="M134" i="134" s="1"/>
  <c r="M135" i="134" s="1"/>
  <c r="M136" i="134" s="1"/>
  <c r="M137" i="134" s="1"/>
  <c r="M138" i="134" s="1"/>
  <c r="M139" i="134" s="1"/>
  <c r="M140" i="134" s="1"/>
  <c r="M141" i="134" s="1"/>
  <c r="M142" i="134" s="1"/>
  <c r="M143" i="134" s="1"/>
  <c r="M144" i="134" s="1"/>
  <c r="M145" i="134" s="1"/>
  <c r="M146" i="134" s="1"/>
  <c r="M147" i="134" s="1"/>
  <c r="M148" i="134" s="1"/>
  <c r="M149" i="134" s="1"/>
  <c r="M150" i="134" s="1"/>
  <c r="M151" i="134" s="1"/>
  <c r="M152" i="134" s="1"/>
  <c r="M153" i="134" s="1"/>
  <c r="M154" i="134" s="1"/>
  <c r="M155" i="134" s="1"/>
  <c r="M156" i="134" s="1"/>
  <c r="M157" i="134" s="1"/>
  <c r="M158" i="134" s="1"/>
  <c r="M159" i="134" s="1"/>
  <c r="M160" i="134" s="1"/>
  <c r="M161" i="134" s="1"/>
  <c r="M162" i="134" s="1"/>
  <c r="M163" i="134" s="1"/>
  <c r="M164" i="134" s="1"/>
  <c r="M165" i="134" s="1"/>
  <c r="M166" i="134" s="1"/>
  <c r="M167" i="134" s="1"/>
  <c r="M168" i="134" s="1"/>
  <c r="M169" i="134" s="1"/>
  <c r="M170" i="134" s="1"/>
  <c r="M171" i="134" s="1"/>
  <c r="M172" i="134" s="1"/>
  <c r="M173" i="134" s="1"/>
  <c r="M174" i="134" s="1"/>
  <c r="M175" i="134" s="1"/>
  <c r="M176" i="134" s="1"/>
  <c r="M177" i="134" s="1"/>
  <c r="M178" i="134" s="1"/>
  <c r="M179" i="134" s="1"/>
  <c r="M180" i="134" s="1"/>
  <c r="M181" i="134" s="1"/>
  <c r="K131" i="134"/>
  <c r="K132" i="134" s="1"/>
  <c r="K133" i="134" s="1"/>
  <c r="K134" i="134" s="1"/>
  <c r="K135" i="134" s="1"/>
  <c r="K136" i="134" s="1"/>
  <c r="K137" i="134" s="1"/>
  <c r="K138" i="134" s="1"/>
  <c r="K139" i="134" s="1"/>
  <c r="K140" i="134" s="1"/>
  <c r="K141" i="134" s="1"/>
  <c r="K142" i="134" s="1"/>
  <c r="K143" i="134" s="1"/>
  <c r="K144" i="134" s="1"/>
  <c r="K145" i="134" s="1"/>
  <c r="K146" i="134" s="1"/>
  <c r="K147" i="134" s="1"/>
  <c r="K148" i="134" s="1"/>
  <c r="K149" i="134" s="1"/>
  <c r="K150" i="134" s="1"/>
  <c r="K151" i="134" s="1"/>
  <c r="K152" i="134" s="1"/>
  <c r="K153" i="134" s="1"/>
  <c r="K154" i="134" s="1"/>
  <c r="K155" i="134" s="1"/>
  <c r="K156" i="134" s="1"/>
  <c r="K157" i="134" s="1"/>
  <c r="K158" i="134" s="1"/>
  <c r="K159" i="134" s="1"/>
  <c r="K160" i="134" s="1"/>
  <c r="K161" i="134" s="1"/>
  <c r="K162" i="134" s="1"/>
  <c r="K163" i="134" s="1"/>
  <c r="K164" i="134" s="1"/>
  <c r="K165" i="134" s="1"/>
  <c r="K166" i="134" s="1"/>
  <c r="K167" i="134" s="1"/>
  <c r="K168" i="134" s="1"/>
  <c r="K169" i="134" s="1"/>
  <c r="K170" i="134" s="1"/>
  <c r="K171" i="134" s="1"/>
  <c r="K172" i="134" s="1"/>
  <c r="K173" i="134" s="1"/>
  <c r="K174" i="134" s="1"/>
  <c r="K175" i="134" s="1"/>
  <c r="K176" i="134" s="1"/>
  <c r="K177" i="134" s="1"/>
  <c r="K178" i="134" s="1"/>
  <c r="K179" i="134" s="1"/>
  <c r="K180" i="134" s="1"/>
  <c r="K181" i="134" s="1"/>
  <c r="I131" i="134"/>
  <c r="I132" i="134" s="1"/>
  <c r="I133" i="134" s="1"/>
  <c r="G130" i="134"/>
  <c r="J130" i="134" s="1"/>
  <c r="G129" i="134"/>
  <c r="J129" i="134" s="1"/>
  <c r="G128" i="134"/>
  <c r="J128" i="134" s="1"/>
  <c r="G127" i="134"/>
  <c r="J127" i="134" s="1"/>
  <c r="G126" i="134"/>
  <c r="J126" i="134" s="1"/>
  <c r="G125" i="134"/>
  <c r="J125" i="134" s="1"/>
  <c r="G124" i="134"/>
  <c r="J124" i="134" s="1"/>
  <c r="G123" i="134"/>
  <c r="J123" i="134" s="1"/>
  <c r="G122" i="134"/>
  <c r="J122" i="134" s="1"/>
  <c r="G121" i="134"/>
  <c r="J121" i="134" s="1"/>
  <c r="I113" i="134"/>
  <c r="H113" i="134"/>
  <c r="G113" i="134"/>
  <c r="F113" i="134"/>
  <c r="I112" i="134"/>
  <c r="H112" i="134"/>
  <c r="G112" i="134"/>
  <c r="F112" i="134"/>
  <c r="I111" i="134"/>
  <c r="H111" i="134"/>
  <c r="G111" i="134"/>
  <c r="F111" i="134"/>
  <c r="I110" i="134"/>
  <c r="H110" i="134"/>
  <c r="G110" i="134"/>
  <c r="F110" i="134"/>
  <c r="I109" i="134"/>
  <c r="H109" i="134"/>
  <c r="G109" i="134"/>
  <c r="F109" i="134"/>
  <c r="I108" i="134"/>
  <c r="H108" i="134"/>
  <c r="G108" i="134"/>
  <c r="F108" i="134"/>
  <c r="I107" i="134"/>
  <c r="H107" i="134"/>
  <c r="G107" i="134"/>
  <c r="F107" i="134"/>
  <c r="I106" i="134"/>
  <c r="H106" i="134"/>
  <c r="G106" i="134"/>
  <c r="F106" i="134"/>
  <c r="I105" i="134"/>
  <c r="H105" i="134"/>
  <c r="H114" i="134" s="1"/>
  <c r="K59" i="134" s="1"/>
  <c r="G105" i="134"/>
  <c r="F105" i="134"/>
  <c r="D76" i="134"/>
  <c r="M26" i="134"/>
  <c r="L26" i="134"/>
  <c r="K26" i="134"/>
  <c r="J26" i="134"/>
  <c r="I26" i="134"/>
  <c r="H26" i="134"/>
  <c r="G26" i="134"/>
  <c r="F26" i="134"/>
  <c r="E26" i="134"/>
  <c r="E112" i="134"/>
  <c r="E111" i="134"/>
  <c r="E110" i="134"/>
  <c r="E109" i="134"/>
  <c r="E108" i="134"/>
  <c r="E107" i="134"/>
  <c r="E106" i="134"/>
  <c r="M12" i="134"/>
  <c r="L12" i="134"/>
  <c r="K12" i="134"/>
  <c r="J12" i="134"/>
  <c r="I12" i="134"/>
  <c r="H12" i="134"/>
  <c r="G12" i="134"/>
  <c r="F12" i="134"/>
  <c r="E12" i="134"/>
  <c r="D12" i="134"/>
  <c r="N25" i="134"/>
  <c r="F1" i="134"/>
  <c r="C134" i="132"/>
  <c r="K132" i="132"/>
  <c r="K133" i="132" s="1"/>
  <c r="K134" i="132" s="1"/>
  <c r="K135" i="132" s="1"/>
  <c r="K136" i="132" s="1"/>
  <c r="K137" i="132" s="1"/>
  <c r="K138" i="132" s="1"/>
  <c r="K139" i="132" s="1"/>
  <c r="K140" i="132" s="1"/>
  <c r="K141" i="132" s="1"/>
  <c r="K142" i="132" s="1"/>
  <c r="K143" i="132" s="1"/>
  <c r="K144" i="132" s="1"/>
  <c r="K145" i="132" s="1"/>
  <c r="K146" i="132" s="1"/>
  <c r="K147" i="132" s="1"/>
  <c r="K148" i="132" s="1"/>
  <c r="K149" i="132" s="1"/>
  <c r="K150" i="132" s="1"/>
  <c r="K151" i="132" s="1"/>
  <c r="K152" i="132" s="1"/>
  <c r="K153" i="132" s="1"/>
  <c r="K154" i="132" s="1"/>
  <c r="K155" i="132" s="1"/>
  <c r="K156" i="132" s="1"/>
  <c r="K157" i="132" s="1"/>
  <c r="K158" i="132" s="1"/>
  <c r="K159" i="132" s="1"/>
  <c r="K160" i="132" s="1"/>
  <c r="K161" i="132" s="1"/>
  <c r="K162" i="132" s="1"/>
  <c r="K163" i="132" s="1"/>
  <c r="K164" i="132" s="1"/>
  <c r="K165" i="132" s="1"/>
  <c r="K166" i="132" s="1"/>
  <c r="K167" i="132" s="1"/>
  <c r="K168" i="132" s="1"/>
  <c r="K169" i="132" s="1"/>
  <c r="K170" i="132" s="1"/>
  <c r="K171" i="132" s="1"/>
  <c r="K172" i="132" s="1"/>
  <c r="K173" i="132" s="1"/>
  <c r="K174" i="132" s="1"/>
  <c r="K175" i="132" s="1"/>
  <c r="K176" i="132" s="1"/>
  <c r="K177" i="132" s="1"/>
  <c r="K178" i="132" s="1"/>
  <c r="K179" i="132" s="1"/>
  <c r="K180" i="132" s="1"/>
  <c r="K181" i="132" s="1"/>
  <c r="M131" i="132"/>
  <c r="M132" i="132" s="1"/>
  <c r="M133" i="132" s="1"/>
  <c r="M134" i="132" s="1"/>
  <c r="M135" i="132" s="1"/>
  <c r="M136" i="132" s="1"/>
  <c r="M137" i="132" s="1"/>
  <c r="M138" i="132" s="1"/>
  <c r="M139" i="132" s="1"/>
  <c r="M140" i="132" s="1"/>
  <c r="M141" i="132" s="1"/>
  <c r="M142" i="132" s="1"/>
  <c r="M143" i="132" s="1"/>
  <c r="M144" i="132" s="1"/>
  <c r="M145" i="132" s="1"/>
  <c r="M146" i="132" s="1"/>
  <c r="M147" i="132" s="1"/>
  <c r="M148" i="132" s="1"/>
  <c r="M149" i="132" s="1"/>
  <c r="M150" i="132" s="1"/>
  <c r="M151" i="132" s="1"/>
  <c r="M152" i="132" s="1"/>
  <c r="M153" i="132" s="1"/>
  <c r="M154" i="132" s="1"/>
  <c r="M155" i="132" s="1"/>
  <c r="M156" i="132" s="1"/>
  <c r="M157" i="132" s="1"/>
  <c r="M158" i="132" s="1"/>
  <c r="M159" i="132" s="1"/>
  <c r="M160" i="132" s="1"/>
  <c r="M161" i="132" s="1"/>
  <c r="M162" i="132" s="1"/>
  <c r="M163" i="132" s="1"/>
  <c r="M164" i="132" s="1"/>
  <c r="M165" i="132" s="1"/>
  <c r="M166" i="132" s="1"/>
  <c r="M167" i="132" s="1"/>
  <c r="M168" i="132" s="1"/>
  <c r="M169" i="132" s="1"/>
  <c r="M170" i="132" s="1"/>
  <c r="M171" i="132" s="1"/>
  <c r="M172" i="132" s="1"/>
  <c r="M173" i="132" s="1"/>
  <c r="M174" i="132" s="1"/>
  <c r="M175" i="132" s="1"/>
  <c r="M176" i="132" s="1"/>
  <c r="M177" i="132" s="1"/>
  <c r="M178" i="132" s="1"/>
  <c r="M179" i="132" s="1"/>
  <c r="M180" i="132" s="1"/>
  <c r="M181" i="132" s="1"/>
  <c r="K131" i="132"/>
  <c r="I131" i="132"/>
  <c r="I132" i="132" s="1"/>
  <c r="I133" i="132" s="1"/>
  <c r="G130" i="132"/>
  <c r="J130" i="132" s="1"/>
  <c r="G129" i="132"/>
  <c r="J129" i="132" s="1"/>
  <c r="H128" i="132"/>
  <c r="G128" i="132"/>
  <c r="J128" i="132" s="1"/>
  <c r="G127" i="132"/>
  <c r="J127" i="132" s="1"/>
  <c r="G126" i="132"/>
  <c r="J126" i="132" s="1"/>
  <c r="G125" i="132"/>
  <c r="J125" i="132" s="1"/>
  <c r="H124" i="132"/>
  <c r="G124" i="132"/>
  <c r="J124" i="132" s="1"/>
  <c r="G123" i="132"/>
  <c r="J123" i="132" s="1"/>
  <c r="G122" i="132"/>
  <c r="J122" i="132" s="1"/>
  <c r="G121" i="132"/>
  <c r="J121" i="132" s="1"/>
  <c r="I113" i="132"/>
  <c r="H113" i="132"/>
  <c r="G113" i="132"/>
  <c r="F113" i="132"/>
  <c r="I112" i="132"/>
  <c r="H112" i="132"/>
  <c r="G112" i="132"/>
  <c r="F112" i="132"/>
  <c r="I111" i="132"/>
  <c r="H111" i="132"/>
  <c r="G111" i="132"/>
  <c r="F111" i="132"/>
  <c r="I110" i="132"/>
  <c r="H110" i="132"/>
  <c r="G110" i="132"/>
  <c r="F110" i="132"/>
  <c r="I109" i="132"/>
  <c r="H109" i="132"/>
  <c r="G109" i="132"/>
  <c r="F109" i="132"/>
  <c r="I108" i="132"/>
  <c r="H108" i="132"/>
  <c r="G108" i="132"/>
  <c r="F108" i="132"/>
  <c r="I107" i="132"/>
  <c r="H107" i="132"/>
  <c r="G107" i="132"/>
  <c r="F107" i="132"/>
  <c r="I106" i="132"/>
  <c r="H106" i="132"/>
  <c r="G106" i="132"/>
  <c r="F106" i="132"/>
  <c r="I105" i="132"/>
  <c r="H105" i="132"/>
  <c r="G105" i="132"/>
  <c r="F105" i="132"/>
  <c r="F114" i="132" s="1"/>
  <c r="K39" i="132" s="1"/>
  <c r="D76" i="132"/>
  <c r="M26" i="132"/>
  <c r="L26" i="132"/>
  <c r="K26" i="132"/>
  <c r="J26" i="132"/>
  <c r="I26" i="132"/>
  <c r="H26" i="132"/>
  <c r="G26" i="132"/>
  <c r="F26" i="132"/>
  <c r="E26" i="132"/>
  <c r="E112" i="132"/>
  <c r="E111" i="132"/>
  <c r="E110" i="132"/>
  <c r="E109" i="132"/>
  <c r="E108" i="132"/>
  <c r="E107" i="132"/>
  <c r="E106" i="132"/>
  <c r="M12" i="132"/>
  <c r="L12" i="132"/>
  <c r="K12" i="132"/>
  <c r="J12" i="132"/>
  <c r="I12" i="132"/>
  <c r="H12" i="132"/>
  <c r="G12" i="132"/>
  <c r="F12" i="132"/>
  <c r="E12" i="132"/>
  <c r="D12" i="132"/>
  <c r="F1" i="132"/>
  <c r="C134" i="131"/>
  <c r="M131" i="131"/>
  <c r="M132" i="131" s="1"/>
  <c r="M133" i="131" s="1"/>
  <c r="M134" i="131" s="1"/>
  <c r="M135" i="131" s="1"/>
  <c r="M136" i="131" s="1"/>
  <c r="M137" i="131" s="1"/>
  <c r="M138" i="131" s="1"/>
  <c r="M139" i="131" s="1"/>
  <c r="M140" i="131" s="1"/>
  <c r="M141" i="131" s="1"/>
  <c r="M142" i="131" s="1"/>
  <c r="M143" i="131" s="1"/>
  <c r="M144" i="131" s="1"/>
  <c r="M145" i="131" s="1"/>
  <c r="M146" i="131" s="1"/>
  <c r="M147" i="131" s="1"/>
  <c r="M148" i="131" s="1"/>
  <c r="M149" i="131" s="1"/>
  <c r="M150" i="131" s="1"/>
  <c r="M151" i="131" s="1"/>
  <c r="M152" i="131" s="1"/>
  <c r="M153" i="131" s="1"/>
  <c r="M154" i="131" s="1"/>
  <c r="M155" i="131" s="1"/>
  <c r="M156" i="131" s="1"/>
  <c r="M157" i="131" s="1"/>
  <c r="M158" i="131" s="1"/>
  <c r="M159" i="131" s="1"/>
  <c r="M160" i="131" s="1"/>
  <c r="M161" i="131" s="1"/>
  <c r="M162" i="131" s="1"/>
  <c r="M163" i="131" s="1"/>
  <c r="M164" i="131" s="1"/>
  <c r="M165" i="131" s="1"/>
  <c r="M166" i="131" s="1"/>
  <c r="M167" i="131" s="1"/>
  <c r="M168" i="131" s="1"/>
  <c r="M169" i="131" s="1"/>
  <c r="M170" i="131" s="1"/>
  <c r="M171" i="131" s="1"/>
  <c r="M172" i="131" s="1"/>
  <c r="M173" i="131" s="1"/>
  <c r="M174" i="131" s="1"/>
  <c r="M175" i="131" s="1"/>
  <c r="M176" i="131" s="1"/>
  <c r="M177" i="131" s="1"/>
  <c r="M178" i="131" s="1"/>
  <c r="M179" i="131" s="1"/>
  <c r="M180" i="131" s="1"/>
  <c r="M181" i="131" s="1"/>
  <c r="K131" i="131"/>
  <c r="K132" i="131" s="1"/>
  <c r="K133" i="131" s="1"/>
  <c r="K134" i="131" s="1"/>
  <c r="K135" i="131" s="1"/>
  <c r="K136" i="131" s="1"/>
  <c r="K137" i="131" s="1"/>
  <c r="K138" i="131" s="1"/>
  <c r="K139" i="131" s="1"/>
  <c r="K140" i="131" s="1"/>
  <c r="K141" i="131" s="1"/>
  <c r="K142" i="131" s="1"/>
  <c r="K143" i="131" s="1"/>
  <c r="K144" i="131" s="1"/>
  <c r="K145" i="131" s="1"/>
  <c r="K146" i="131" s="1"/>
  <c r="K147" i="131" s="1"/>
  <c r="K148" i="131" s="1"/>
  <c r="K149" i="131" s="1"/>
  <c r="K150" i="131" s="1"/>
  <c r="K151" i="131" s="1"/>
  <c r="K152" i="131" s="1"/>
  <c r="K153" i="131" s="1"/>
  <c r="K154" i="131" s="1"/>
  <c r="K155" i="131" s="1"/>
  <c r="K156" i="131" s="1"/>
  <c r="K157" i="131" s="1"/>
  <c r="K158" i="131" s="1"/>
  <c r="K159" i="131" s="1"/>
  <c r="K160" i="131" s="1"/>
  <c r="K161" i="131" s="1"/>
  <c r="K162" i="131" s="1"/>
  <c r="K163" i="131" s="1"/>
  <c r="K164" i="131" s="1"/>
  <c r="K165" i="131" s="1"/>
  <c r="K166" i="131" s="1"/>
  <c r="K167" i="131" s="1"/>
  <c r="K168" i="131" s="1"/>
  <c r="K169" i="131" s="1"/>
  <c r="K170" i="131" s="1"/>
  <c r="K171" i="131" s="1"/>
  <c r="K172" i="131" s="1"/>
  <c r="K173" i="131" s="1"/>
  <c r="K174" i="131" s="1"/>
  <c r="K175" i="131" s="1"/>
  <c r="K176" i="131" s="1"/>
  <c r="K177" i="131" s="1"/>
  <c r="K178" i="131" s="1"/>
  <c r="K179" i="131" s="1"/>
  <c r="K180" i="131" s="1"/>
  <c r="K181" i="131" s="1"/>
  <c r="I131" i="131"/>
  <c r="G131" i="131" s="1"/>
  <c r="G130" i="131"/>
  <c r="L130" i="131" s="1"/>
  <c r="G129" i="131"/>
  <c r="L129" i="131" s="1"/>
  <c r="G128" i="131"/>
  <c r="L128" i="131" s="1"/>
  <c r="G127" i="131"/>
  <c r="L127" i="131" s="1"/>
  <c r="G126" i="131"/>
  <c r="L126" i="131" s="1"/>
  <c r="G125" i="131"/>
  <c r="L125" i="131" s="1"/>
  <c r="G124" i="131"/>
  <c r="L124" i="131" s="1"/>
  <c r="G123" i="131"/>
  <c r="L123" i="131" s="1"/>
  <c r="G122" i="131"/>
  <c r="L122" i="131" s="1"/>
  <c r="G121" i="131"/>
  <c r="L121" i="131" s="1"/>
  <c r="I113" i="131"/>
  <c r="H113" i="131"/>
  <c r="G113" i="131"/>
  <c r="F113" i="131"/>
  <c r="I112" i="131"/>
  <c r="H112" i="131"/>
  <c r="G112" i="131"/>
  <c r="F112" i="131"/>
  <c r="I111" i="131"/>
  <c r="H111" i="131"/>
  <c r="G111" i="131"/>
  <c r="F111" i="131"/>
  <c r="I110" i="131"/>
  <c r="H110" i="131"/>
  <c r="G110" i="131"/>
  <c r="F110" i="131"/>
  <c r="I109" i="131"/>
  <c r="H109" i="131"/>
  <c r="G109" i="131"/>
  <c r="F109" i="131"/>
  <c r="I108" i="131"/>
  <c r="H108" i="131"/>
  <c r="G108" i="131"/>
  <c r="F108" i="131"/>
  <c r="I107" i="131"/>
  <c r="H107" i="131"/>
  <c r="G107" i="131"/>
  <c r="F107" i="131"/>
  <c r="I106" i="131"/>
  <c r="H106" i="131"/>
  <c r="G106" i="131"/>
  <c r="F106" i="131"/>
  <c r="I105" i="131"/>
  <c r="I114" i="131" s="1"/>
  <c r="K69" i="131" s="1"/>
  <c r="H105" i="131"/>
  <c r="H114" i="131" s="1"/>
  <c r="K59" i="131" s="1"/>
  <c r="G105" i="131"/>
  <c r="F105" i="131"/>
  <c r="F114" i="131" s="1"/>
  <c r="K39" i="131" s="1"/>
  <c r="D76" i="131"/>
  <c r="M26" i="131"/>
  <c r="L26" i="131"/>
  <c r="K26" i="131"/>
  <c r="J26" i="131"/>
  <c r="I26" i="131"/>
  <c r="H26" i="131"/>
  <c r="G26" i="131"/>
  <c r="F26" i="131"/>
  <c r="E26" i="131"/>
  <c r="E112" i="131"/>
  <c r="E111" i="131"/>
  <c r="E110" i="131"/>
  <c r="E109" i="131"/>
  <c r="E108" i="131"/>
  <c r="E107" i="131"/>
  <c r="E106" i="131"/>
  <c r="D26" i="131"/>
  <c r="M12" i="131"/>
  <c r="L12" i="131"/>
  <c r="K12" i="131"/>
  <c r="J12" i="131"/>
  <c r="I12" i="131"/>
  <c r="H12" i="131"/>
  <c r="G12" i="131"/>
  <c r="F12" i="131"/>
  <c r="E12" i="131"/>
  <c r="D12" i="131"/>
  <c r="N25" i="131"/>
  <c r="F1" i="131"/>
  <c r="C134" i="130"/>
  <c r="M132" i="130"/>
  <c r="M133" i="130" s="1"/>
  <c r="M134" i="130" s="1"/>
  <c r="M135" i="130" s="1"/>
  <c r="M136" i="130" s="1"/>
  <c r="M137" i="130" s="1"/>
  <c r="M138" i="130" s="1"/>
  <c r="M139" i="130" s="1"/>
  <c r="M140" i="130" s="1"/>
  <c r="M141" i="130" s="1"/>
  <c r="M142" i="130" s="1"/>
  <c r="M143" i="130" s="1"/>
  <c r="M144" i="130" s="1"/>
  <c r="M145" i="130" s="1"/>
  <c r="M146" i="130" s="1"/>
  <c r="M147" i="130" s="1"/>
  <c r="M148" i="130" s="1"/>
  <c r="M149" i="130" s="1"/>
  <c r="M150" i="130" s="1"/>
  <c r="M151" i="130" s="1"/>
  <c r="M152" i="130" s="1"/>
  <c r="M153" i="130" s="1"/>
  <c r="M154" i="130" s="1"/>
  <c r="M155" i="130" s="1"/>
  <c r="M156" i="130" s="1"/>
  <c r="M157" i="130" s="1"/>
  <c r="M158" i="130" s="1"/>
  <c r="M159" i="130" s="1"/>
  <c r="M160" i="130" s="1"/>
  <c r="M161" i="130" s="1"/>
  <c r="M162" i="130" s="1"/>
  <c r="M163" i="130" s="1"/>
  <c r="M164" i="130" s="1"/>
  <c r="M165" i="130" s="1"/>
  <c r="M166" i="130" s="1"/>
  <c r="M167" i="130" s="1"/>
  <c r="M168" i="130" s="1"/>
  <c r="M169" i="130" s="1"/>
  <c r="M170" i="130" s="1"/>
  <c r="M171" i="130" s="1"/>
  <c r="M172" i="130" s="1"/>
  <c r="M173" i="130" s="1"/>
  <c r="M174" i="130" s="1"/>
  <c r="M175" i="130" s="1"/>
  <c r="M176" i="130" s="1"/>
  <c r="M177" i="130" s="1"/>
  <c r="M178" i="130" s="1"/>
  <c r="M179" i="130" s="1"/>
  <c r="M180" i="130" s="1"/>
  <c r="M181" i="130" s="1"/>
  <c r="I132" i="130"/>
  <c r="I133" i="130" s="1"/>
  <c r="M131" i="130"/>
  <c r="K131" i="130"/>
  <c r="K132" i="130" s="1"/>
  <c r="K133" i="130" s="1"/>
  <c r="K134" i="130" s="1"/>
  <c r="K135" i="130" s="1"/>
  <c r="K136" i="130" s="1"/>
  <c r="K137" i="130" s="1"/>
  <c r="K138" i="130" s="1"/>
  <c r="K139" i="130" s="1"/>
  <c r="K140" i="130" s="1"/>
  <c r="K141" i="130" s="1"/>
  <c r="K142" i="130" s="1"/>
  <c r="K143" i="130" s="1"/>
  <c r="K144" i="130" s="1"/>
  <c r="K145" i="130" s="1"/>
  <c r="K146" i="130" s="1"/>
  <c r="K147" i="130" s="1"/>
  <c r="K148" i="130" s="1"/>
  <c r="K149" i="130" s="1"/>
  <c r="K150" i="130" s="1"/>
  <c r="K151" i="130" s="1"/>
  <c r="K152" i="130" s="1"/>
  <c r="K153" i="130" s="1"/>
  <c r="K154" i="130" s="1"/>
  <c r="K155" i="130" s="1"/>
  <c r="K156" i="130" s="1"/>
  <c r="K157" i="130" s="1"/>
  <c r="K158" i="130" s="1"/>
  <c r="K159" i="130" s="1"/>
  <c r="K160" i="130" s="1"/>
  <c r="K161" i="130" s="1"/>
  <c r="K162" i="130" s="1"/>
  <c r="K163" i="130" s="1"/>
  <c r="K164" i="130" s="1"/>
  <c r="K165" i="130" s="1"/>
  <c r="K166" i="130" s="1"/>
  <c r="K167" i="130" s="1"/>
  <c r="K168" i="130" s="1"/>
  <c r="K169" i="130" s="1"/>
  <c r="K170" i="130" s="1"/>
  <c r="K171" i="130" s="1"/>
  <c r="K172" i="130" s="1"/>
  <c r="K173" i="130" s="1"/>
  <c r="K174" i="130" s="1"/>
  <c r="K175" i="130" s="1"/>
  <c r="K176" i="130" s="1"/>
  <c r="K177" i="130" s="1"/>
  <c r="K178" i="130" s="1"/>
  <c r="K179" i="130" s="1"/>
  <c r="K180" i="130" s="1"/>
  <c r="K181" i="130" s="1"/>
  <c r="I131" i="130"/>
  <c r="G131" i="130" s="1"/>
  <c r="G130" i="130"/>
  <c r="L130" i="130" s="1"/>
  <c r="G129" i="130"/>
  <c r="L129" i="130" s="1"/>
  <c r="G128" i="130"/>
  <c r="L128" i="130" s="1"/>
  <c r="G127" i="130"/>
  <c r="L127" i="130" s="1"/>
  <c r="G126" i="130"/>
  <c r="L126" i="130" s="1"/>
  <c r="G125" i="130"/>
  <c r="L125" i="130" s="1"/>
  <c r="G124" i="130"/>
  <c r="L124" i="130" s="1"/>
  <c r="G123" i="130"/>
  <c r="L123" i="130" s="1"/>
  <c r="G122" i="130"/>
  <c r="L122" i="130" s="1"/>
  <c r="J121" i="130"/>
  <c r="G121" i="130"/>
  <c r="L121" i="130" s="1"/>
  <c r="I113" i="130"/>
  <c r="H113" i="130"/>
  <c r="G113" i="130"/>
  <c r="F113" i="130"/>
  <c r="I112" i="130"/>
  <c r="H112" i="130"/>
  <c r="G112" i="130"/>
  <c r="F112" i="130"/>
  <c r="I111" i="130"/>
  <c r="H111" i="130"/>
  <c r="G111" i="130"/>
  <c r="F111" i="130"/>
  <c r="I110" i="130"/>
  <c r="H110" i="130"/>
  <c r="G110" i="130"/>
  <c r="F110" i="130"/>
  <c r="I109" i="130"/>
  <c r="H109" i="130"/>
  <c r="G109" i="130"/>
  <c r="F109" i="130"/>
  <c r="I108" i="130"/>
  <c r="H108" i="130"/>
  <c r="G108" i="130"/>
  <c r="F108" i="130"/>
  <c r="I107" i="130"/>
  <c r="H107" i="130"/>
  <c r="G107" i="130"/>
  <c r="F107" i="130"/>
  <c r="I106" i="130"/>
  <c r="H106" i="130"/>
  <c r="G106" i="130"/>
  <c r="F106" i="130"/>
  <c r="I105" i="130"/>
  <c r="I114" i="130" s="1"/>
  <c r="K69" i="130" s="1"/>
  <c r="H105" i="130"/>
  <c r="G105" i="130"/>
  <c r="F105" i="130"/>
  <c r="F114" i="130" s="1"/>
  <c r="K39" i="130" s="1"/>
  <c r="D76" i="130"/>
  <c r="M26" i="130"/>
  <c r="L26" i="130"/>
  <c r="K26" i="130"/>
  <c r="J26" i="130"/>
  <c r="I26" i="130"/>
  <c r="H26" i="130"/>
  <c r="G26" i="130"/>
  <c r="F26" i="130"/>
  <c r="E26" i="130"/>
  <c r="E112" i="130"/>
  <c r="E111" i="130"/>
  <c r="E110" i="130"/>
  <c r="E109" i="130"/>
  <c r="E108" i="130"/>
  <c r="E107" i="130"/>
  <c r="E106" i="130"/>
  <c r="M12" i="130"/>
  <c r="L12" i="130"/>
  <c r="K12" i="130"/>
  <c r="J12" i="130"/>
  <c r="I12" i="130"/>
  <c r="H12" i="130"/>
  <c r="G12" i="130"/>
  <c r="F12" i="130"/>
  <c r="E12" i="130"/>
  <c r="D12" i="130"/>
  <c r="F1" i="130"/>
  <c r="C134" i="129"/>
  <c r="M131" i="129"/>
  <c r="M132" i="129" s="1"/>
  <c r="M133" i="129" s="1"/>
  <c r="M134" i="129" s="1"/>
  <c r="M135" i="129" s="1"/>
  <c r="M136" i="129" s="1"/>
  <c r="M137" i="129" s="1"/>
  <c r="M138" i="129" s="1"/>
  <c r="M139" i="129" s="1"/>
  <c r="M140" i="129" s="1"/>
  <c r="M141" i="129" s="1"/>
  <c r="M142" i="129" s="1"/>
  <c r="M143" i="129" s="1"/>
  <c r="M144" i="129" s="1"/>
  <c r="M145" i="129" s="1"/>
  <c r="M146" i="129" s="1"/>
  <c r="M147" i="129" s="1"/>
  <c r="M148" i="129" s="1"/>
  <c r="M149" i="129" s="1"/>
  <c r="M150" i="129" s="1"/>
  <c r="M151" i="129" s="1"/>
  <c r="M152" i="129" s="1"/>
  <c r="M153" i="129" s="1"/>
  <c r="M154" i="129" s="1"/>
  <c r="M155" i="129" s="1"/>
  <c r="M156" i="129" s="1"/>
  <c r="M157" i="129" s="1"/>
  <c r="M158" i="129" s="1"/>
  <c r="M159" i="129" s="1"/>
  <c r="M160" i="129" s="1"/>
  <c r="M161" i="129" s="1"/>
  <c r="M162" i="129" s="1"/>
  <c r="M163" i="129" s="1"/>
  <c r="M164" i="129" s="1"/>
  <c r="M165" i="129" s="1"/>
  <c r="M166" i="129" s="1"/>
  <c r="M167" i="129" s="1"/>
  <c r="M168" i="129" s="1"/>
  <c r="M169" i="129" s="1"/>
  <c r="M170" i="129" s="1"/>
  <c r="M171" i="129" s="1"/>
  <c r="M172" i="129" s="1"/>
  <c r="M173" i="129" s="1"/>
  <c r="M174" i="129" s="1"/>
  <c r="M175" i="129" s="1"/>
  <c r="M176" i="129" s="1"/>
  <c r="M177" i="129" s="1"/>
  <c r="M178" i="129" s="1"/>
  <c r="M179" i="129" s="1"/>
  <c r="M180" i="129" s="1"/>
  <c r="M181" i="129" s="1"/>
  <c r="K131" i="129"/>
  <c r="K132" i="129" s="1"/>
  <c r="K133" i="129" s="1"/>
  <c r="K134" i="129" s="1"/>
  <c r="K135" i="129" s="1"/>
  <c r="K136" i="129" s="1"/>
  <c r="K137" i="129" s="1"/>
  <c r="K138" i="129" s="1"/>
  <c r="K139" i="129" s="1"/>
  <c r="K140" i="129" s="1"/>
  <c r="K141" i="129" s="1"/>
  <c r="K142" i="129" s="1"/>
  <c r="K143" i="129" s="1"/>
  <c r="K144" i="129" s="1"/>
  <c r="K145" i="129" s="1"/>
  <c r="K146" i="129" s="1"/>
  <c r="K147" i="129" s="1"/>
  <c r="K148" i="129" s="1"/>
  <c r="K149" i="129" s="1"/>
  <c r="K150" i="129" s="1"/>
  <c r="K151" i="129" s="1"/>
  <c r="K152" i="129" s="1"/>
  <c r="K153" i="129" s="1"/>
  <c r="K154" i="129" s="1"/>
  <c r="K155" i="129" s="1"/>
  <c r="K156" i="129" s="1"/>
  <c r="K157" i="129" s="1"/>
  <c r="K158" i="129" s="1"/>
  <c r="K159" i="129" s="1"/>
  <c r="K160" i="129" s="1"/>
  <c r="K161" i="129" s="1"/>
  <c r="K162" i="129" s="1"/>
  <c r="K163" i="129" s="1"/>
  <c r="K164" i="129" s="1"/>
  <c r="K165" i="129" s="1"/>
  <c r="K166" i="129" s="1"/>
  <c r="K167" i="129" s="1"/>
  <c r="K168" i="129" s="1"/>
  <c r="K169" i="129" s="1"/>
  <c r="K170" i="129" s="1"/>
  <c r="K171" i="129" s="1"/>
  <c r="K172" i="129" s="1"/>
  <c r="K173" i="129" s="1"/>
  <c r="K174" i="129" s="1"/>
  <c r="K175" i="129" s="1"/>
  <c r="K176" i="129" s="1"/>
  <c r="K177" i="129" s="1"/>
  <c r="K178" i="129" s="1"/>
  <c r="K179" i="129" s="1"/>
  <c r="K180" i="129" s="1"/>
  <c r="K181" i="129" s="1"/>
  <c r="I131" i="129"/>
  <c r="G131" i="129" s="1"/>
  <c r="L130" i="129"/>
  <c r="G130" i="129"/>
  <c r="H130" i="129" s="1"/>
  <c r="G129" i="129"/>
  <c r="H129" i="129" s="1"/>
  <c r="G128" i="129"/>
  <c r="H128" i="129" s="1"/>
  <c r="G127" i="129"/>
  <c r="H127" i="129" s="1"/>
  <c r="G126" i="129"/>
  <c r="H126" i="129" s="1"/>
  <c r="G125" i="129"/>
  <c r="H125" i="129" s="1"/>
  <c r="G124" i="129"/>
  <c r="H124" i="129" s="1"/>
  <c r="G123" i="129"/>
  <c r="H123" i="129" s="1"/>
  <c r="L122" i="129"/>
  <c r="J122" i="129"/>
  <c r="G122" i="129"/>
  <c r="H122" i="129" s="1"/>
  <c r="G121" i="129"/>
  <c r="H121" i="129" s="1"/>
  <c r="I113" i="129"/>
  <c r="H113" i="129"/>
  <c r="G113" i="129"/>
  <c r="F113" i="129"/>
  <c r="I112" i="129"/>
  <c r="H112" i="129"/>
  <c r="G112" i="129"/>
  <c r="F112" i="129"/>
  <c r="I111" i="129"/>
  <c r="H111" i="129"/>
  <c r="G111" i="129"/>
  <c r="F111" i="129"/>
  <c r="I110" i="129"/>
  <c r="H110" i="129"/>
  <c r="G110" i="129"/>
  <c r="F110" i="129"/>
  <c r="I109" i="129"/>
  <c r="H109" i="129"/>
  <c r="G109" i="129"/>
  <c r="F109" i="129"/>
  <c r="I108" i="129"/>
  <c r="H108" i="129"/>
  <c r="G108" i="129"/>
  <c r="F108" i="129"/>
  <c r="I107" i="129"/>
  <c r="H107" i="129"/>
  <c r="G107" i="129"/>
  <c r="F107" i="129"/>
  <c r="I106" i="129"/>
  <c r="H106" i="129"/>
  <c r="G106" i="129"/>
  <c r="F106" i="129"/>
  <c r="I105" i="129"/>
  <c r="H105" i="129"/>
  <c r="H114" i="129" s="1"/>
  <c r="K59" i="129" s="1"/>
  <c r="G105" i="129"/>
  <c r="F105" i="129"/>
  <c r="D76" i="129"/>
  <c r="M26" i="129"/>
  <c r="L26" i="129"/>
  <c r="K26" i="129"/>
  <c r="J26" i="129"/>
  <c r="I26" i="129"/>
  <c r="H26" i="129"/>
  <c r="G26" i="129"/>
  <c r="F26" i="129"/>
  <c r="E26" i="129"/>
  <c r="E112" i="129"/>
  <c r="E111" i="129"/>
  <c r="E110" i="129"/>
  <c r="E109" i="129"/>
  <c r="E108" i="129"/>
  <c r="E107" i="129"/>
  <c r="E106" i="129"/>
  <c r="M12" i="129"/>
  <c r="L12" i="129"/>
  <c r="K12" i="129"/>
  <c r="J12" i="129"/>
  <c r="I12" i="129"/>
  <c r="H12" i="129"/>
  <c r="G12" i="129"/>
  <c r="F12" i="129"/>
  <c r="E12" i="129"/>
  <c r="D12" i="129"/>
  <c r="F1" i="129"/>
  <c r="C134" i="128"/>
  <c r="M131" i="128"/>
  <c r="M132" i="128" s="1"/>
  <c r="M133" i="128" s="1"/>
  <c r="M134" i="128" s="1"/>
  <c r="M135" i="128" s="1"/>
  <c r="M136" i="128" s="1"/>
  <c r="M137" i="128" s="1"/>
  <c r="M138" i="128" s="1"/>
  <c r="M139" i="128" s="1"/>
  <c r="M140" i="128" s="1"/>
  <c r="M141" i="128" s="1"/>
  <c r="M142" i="128" s="1"/>
  <c r="M143" i="128" s="1"/>
  <c r="M144" i="128" s="1"/>
  <c r="M145" i="128" s="1"/>
  <c r="M146" i="128" s="1"/>
  <c r="M147" i="128" s="1"/>
  <c r="M148" i="128" s="1"/>
  <c r="M149" i="128" s="1"/>
  <c r="M150" i="128" s="1"/>
  <c r="M151" i="128" s="1"/>
  <c r="M152" i="128" s="1"/>
  <c r="M153" i="128" s="1"/>
  <c r="M154" i="128" s="1"/>
  <c r="M155" i="128" s="1"/>
  <c r="M156" i="128" s="1"/>
  <c r="M157" i="128" s="1"/>
  <c r="M158" i="128" s="1"/>
  <c r="M159" i="128" s="1"/>
  <c r="M160" i="128" s="1"/>
  <c r="M161" i="128" s="1"/>
  <c r="M162" i="128" s="1"/>
  <c r="M163" i="128" s="1"/>
  <c r="M164" i="128" s="1"/>
  <c r="M165" i="128" s="1"/>
  <c r="M166" i="128" s="1"/>
  <c r="M167" i="128" s="1"/>
  <c r="M168" i="128" s="1"/>
  <c r="M169" i="128" s="1"/>
  <c r="M170" i="128" s="1"/>
  <c r="M171" i="128" s="1"/>
  <c r="M172" i="128" s="1"/>
  <c r="M173" i="128" s="1"/>
  <c r="M174" i="128" s="1"/>
  <c r="M175" i="128" s="1"/>
  <c r="M176" i="128" s="1"/>
  <c r="M177" i="128" s="1"/>
  <c r="M178" i="128" s="1"/>
  <c r="M179" i="128" s="1"/>
  <c r="M180" i="128" s="1"/>
  <c r="M181" i="128" s="1"/>
  <c r="K131" i="128"/>
  <c r="K132" i="128" s="1"/>
  <c r="K133" i="128" s="1"/>
  <c r="K134" i="128" s="1"/>
  <c r="K135" i="128" s="1"/>
  <c r="K136" i="128" s="1"/>
  <c r="K137" i="128" s="1"/>
  <c r="K138" i="128" s="1"/>
  <c r="K139" i="128" s="1"/>
  <c r="K140" i="128" s="1"/>
  <c r="K141" i="128" s="1"/>
  <c r="K142" i="128" s="1"/>
  <c r="K143" i="128" s="1"/>
  <c r="K144" i="128" s="1"/>
  <c r="K145" i="128" s="1"/>
  <c r="K146" i="128" s="1"/>
  <c r="K147" i="128" s="1"/>
  <c r="K148" i="128" s="1"/>
  <c r="K149" i="128" s="1"/>
  <c r="K150" i="128" s="1"/>
  <c r="K151" i="128" s="1"/>
  <c r="K152" i="128" s="1"/>
  <c r="K153" i="128" s="1"/>
  <c r="K154" i="128" s="1"/>
  <c r="K155" i="128" s="1"/>
  <c r="K156" i="128" s="1"/>
  <c r="K157" i="128" s="1"/>
  <c r="K158" i="128" s="1"/>
  <c r="K159" i="128" s="1"/>
  <c r="K160" i="128" s="1"/>
  <c r="K161" i="128" s="1"/>
  <c r="K162" i="128" s="1"/>
  <c r="K163" i="128" s="1"/>
  <c r="K164" i="128" s="1"/>
  <c r="K165" i="128" s="1"/>
  <c r="K166" i="128" s="1"/>
  <c r="K167" i="128" s="1"/>
  <c r="K168" i="128" s="1"/>
  <c r="K169" i="128" s="1"/>
  <c r="K170" i="128" s="1"/>
  <c r="K171" i="128" s="1"/>
  <c r="K172" i="128" s="1"/>
  <c r="K173" i="128" s="1"/>
  <c r="K174" i="128" s="1"/>
  <c r="K175" i="128" s="1"/>
  <c r="K176" i="128" s="1"/>
  <c r="K177" i="128" s="1"/>
  <c r="K178" i="128" s="1"/>
  <c r="K179" i="128" s="1"/>
  <c r="K180" i="128" s="1"/>
  <c r="K181" i="128" s="1"/>
  <c r="I131" i="128"/>
  <c r="I132" i="128" s="1"/>
  <c r="G130" i="128"/>
  <c r="L130" i="128" s="1"/>
  <c r="G129" i="128"/>
  <c r="L129" i="128" s="1"/>
  <c r="G128" i="128"/>
  <c r="L128" i="128" s="1"/>
  <c r="G127" i="128"/>
  <c r="L127" i="128" s="1"/>
  <c r="G126" i="128"/>
  <c r="L126" i="128" s="1"/>
  <c r="G125" i="128"/>
  <c r="L125" i="128" s="1"/>
  <c r="G124" i="128"/>
  <c r="L124" i="128" s="1"/>
  <c r="G123" i="128"/>
  <c r="L123" i="128" s="1"/>
  <c r="G122" i="128"/>
  <c r="L122" i="128" s="1"/>
  <c r="G121" i="128"/>
  <c r="L121" i="128" s="1"/>
  <c r="I113" i="128"/>
  <c r="H113" i="128"/>
  <c r="G113" i="128"/>
  <c r="F113" i="128"/>
  <c r="I112" i="128"/>
  <c r="H112" i="128"/>
  <c r="G112" i="128"/>
  <c r="F112" i="128"/>
  <c r="I111" i="128"/>
  <c r="H111" i="128"/>
  <c r="G111" i="128"/>
  <c r="F111" i="128"/>
  <c r="I110" i="128"/>
  <c r="H110" i="128"/>
  <c r="G110" i="128"/>
  <c r="F110" i="128"/>
  <c r="I109" i="128"/>
  <c r="H109" i="128"/>
  <c r="G109" i="128"/>
  <c r="F109" i="128"/>
  <c r="I108" i="128"/>
  <c r="H108" i="128"/>
  <c r="G108" i="128"/>
  <c r="F108" i="128"/>
  <c r="I107" i="128"/>
  <c r="H107" i="128"/>
  <c r="G107" i="128"/>
  <c r="F107" i="128"/>
  <c r="I106" i="128"/>
  <c r="H106" i="128"/>
  <c r="G106" i="128"/>
  <c r="F106" i="128"/>
  <c r="I105" i="128"/>
  <c r="H105" i="128"/>
  <c r="H114" i="128" s="1"/>
  <c r="K59" i="128" s="1"/>
  <c r="G105" i="128"/>
  <c r="F105" i="128"/>
  <c r="D76" i="128"/>
  <c r="M26" i="128"/>
  <c r="L26" i="128"/>
  <c r="K26" i="128"/>
  <c r="J26" i="128"/>
  <c r="I26" i="128"/>
  <c r="H26" i="128"/>
  <c r="G26" i="128"/>
  <c r="F26" i="128"/>
  <c r="E26" i="128"/>
  <c r="E112" i="128"/>
  <c r="E111" i="128"/>
  <c r="E110" i="128"/>
  <c r="E109" i="128"/>
  <c r="E108" i="128"/>
  <c r="E107" i="128"/>
  <c r="E106" i="128"/>
  <c r="M12" i="128"/>
  <c r="L12" i="128"/>
  <c r="K12" i="128"/>
  <c r="J12" i="128"/>
  <c r="I12" i="128"/>
  <c r="H12" i="128"/>
  <c r="G12" i="128"/>
  <c r="F12" i="128"/>
  <c r="E12" i="128"/>
  <c r="D12" i="128"/>
  <c r="N25" i="128"/>
  <c r="F1" i="128"/>
  <c r="C134" i="125"/>
  <c r="K132" i="125"/>
  <c r="K133" i="125" s="1"/>
  <c r="K134" i="125" s="1"/>
  <c r="K135" i="125" s="1"/>
  <c r="K136" i="125" s="1"/>
  <c r="K137" i="125" s="1"/>
  <c r="K138" i="125" s="1"/>
  <c r="K139" i="125" s="1"/>
  <c r="K140" i="125" s="1"/>
  <c r="K141" i="125" s="1"/>
  <c r="K142" i="125" s="1"/>
  <c r="K143" i="125" s="1"/>
  <c r="K144" i="125" s="1"/>
  <c r="K145" i="125" s="1"/>
  <c r="K146" i="125" s="1"/>
  <c r="K147" i="125" s="1"/>
  <c r="K148" i="125" s="1"/>
  <c r="K149" i="125" s="1"/>
  <c r="K150" i="125" s="1"/>
  <c r="K151" i="125" s="1"/>
  <c r="K152" i="125" s="1"/>
  <c r="K153" i="125" s="1"/>
  <c r="K154" i="125" s="1"/>
  <c r="K155" i="125" s="1"/>
  <c r="K156" i="125" s="1"/>
  <c r="K157" i="125" s="1"/>
  <c r="K158" i="125" s="1"/>
  <c r="K159" i="125" s="1"/>
  <c r="K160" i="125" s="1"/>
  <c r="K161" i="125" s="1"/>
  <c r="K162" i="125" s="1"/>
  <c r="K163" i="125" s="1"/>
  <c r="K164" i="125" s="1"/>
  <c r="K165" i="125" s="1"/>
  <c r="K166" i="125" s="1"/>
  <c r="K167" i="125" s="1"/>
  <c r="K168" i="125" s="1"/>
  <c r="K169" i="125" s="1"/>
  <c r="K170" i="125" s="1"/>
  <c r="K171" i="125" s="1"/>
  <c r="K172" i="125" s="1"/>
  <c r="K173" i="125" s="1"/>
  <c r="K174" i="125" s="1"/>
  <c r="K175" i="125" s="1"/>
  <c r="K176" i="125" s="1"/>
  <c r="K177" i="125" s="1"/>
  <c r="K178" i="125" s="1"/>
  <c r="K179" i="125" s="1"/>
  <c r="K180" i="125" s="1"/>
  <c r="K181" i="125" s="1"/>
  <c r="M131" i="125"/>
  <c r="M132" i="125" s="1"/>
  <c r="M133" i="125" s="1"/>
  <c r="M134" i="125" s="1"/>
  <c r="M135" i="125" s="1"/>
  <c r="M136" i="125" s="1"/>
  <c r="M137" i="125" s="1"/>
  <c r="M138" i="125" s="1"/>
  <c r="M139" i="125" s="1"/>
  <c r="M140" i="125" s="1"/>
  <c r="M141" i="125" s="1"/>
  <c r="M142" i="125" s="1"/>
  <c r="M143" i="125" s="1"/>
  <c r="M144" i="125" s="1"/>
  <c r="M145" i="125" s="1"/>
  <c r="M146" i="125" s="1"/>
  <c r="M147" i="125" s="1"/>
  <c r="M148" i="125" s="1"/>
  <c r="M149" i="125" s="1"/>
  <c r="M150" i="125" s="1"/>
  <c r="M151" i="125" s="1"/>
  <c r="M152" i="125" s="1"/>
  <c r="M153" i="125" s="1"/>
  <c r="M154" i="125" s="1"/>
  <c r="M155" i="125" s="1"/>
  <c r="M156" i="125" s="1"/>
  <c r="M157" i="125" s="1"/>
  <c r="M158" i="125" s="1"/>
  <c r="M159" i="125" s="1"/>
  <c r="M160" i="125" s="1"/>
  <c r="M161" i="125" s="1"/>
  <c r="M162" i="125" s="1"/>
  <c r="M163" i="125" s="1"/>
  <c r="M164" i="125" s="1"/>
  <c r="M165" i="125" s="1"/>
  <c r="M166" i="125" s="1"/>
  <c r="M167" i="125" s="1"/>
  <c r="M168" i="125" s="1"/>
  <c r="M169" i="125" s="1"/>
  <c r="M170" i="125" s="1"/>
  <c r="M171" i="125" s="1"/>
  <c r="M172" i="125" s="1"/>
  <c r="M173" i="125" s="1"/>
  <c r="M174" i="125" s="1"/>
  <c r="M175" i="125" s="1"/>
  <c r="M176" i="125" s="1"/>
  <c r="M177" i="125" s="1"/>
  <c r="M178" i="125" s="1"/>
  <c r="M179" i="125" s="1"/>
  <c r="M180" i="125" s="1"/>
  <c r="M181" i="125" s="1"/>
  <c r="K131" i="125"/>
  <c r="I131" i="125"/>
  <c r="G131" i="125" s="1"/>
  <c r="G130" i="125"/>
  <c r="L130" i="125" s="1"/>
  <c r="G129" i="125"/>
  <c r="L129" i="125" s="1"/>
  <c r="G128" i="125"/>
  <c r="L128" i="125" s="1"/>
  <c r="G127" i="125"/>
  <c r="L127" i="125" s="1"/>
  <c r="G126" i="125"/>
  <c r="L126" i="125" s="1"/>
  <c r="G125" i="125"/>
  <c r="L125" i="125" s="1"/>
  <c r="G124" i="125"/>
  <c r="L124" i="125" s="1"/>
  <c r="G123" i="125"/>
  <c r="L123" i="125" s="1"/>
  <c r="H122" i="125"/>
  <c r="G122" i="125"/>
  <c r="L122" i="125" s="1"/>
  <c r="G121" i="125"/>
  <c r="L121" i="125" s="1"/>
  <c r="I113" i="125"/>
  <c r="H113" i="125"/>
  <c r="G113" i="125"/>
  <c r="F113" i="125"/>
  <c r="I112" i="125"/>
  <c r="H112" i="125"/>
  <c r="G112" i="125"/>
  <c r="F112" i="125"/>
  <c r="I111" i="125"/>
  <c r="H111" i="125"/>
  <c r="G111" i="125"/>
  <c r="F111" i="125"/>
  <c r="I110" i="125"/>
  <c r="H110" i="125"/>
  <c r="G110" i="125"/>
  <c r="F110" i="125"/>
  <c r="I109" i="125"/>
  <c r="H109" i="125"/>
  <c r="G109" i="125"/>
  <c r="F109" i="125"/>
  <c r="I108" i="125"/>
  <c r="H108" i="125"/>
  <c r="G108" i="125"/>
  <c r="F108" i="125"/>
  <c r="I107" i="125"/>
  <c r="H107" i="125"/>
  <c r="G107" i="125"/>
  <c r="F107" i="125"/>
  <c r="I106" i="125"/>
  <c r="H106" i="125"/>
  <c r="G106" i="125"/>
  <c r="F106" i="125"/>
  <c r="I105" i="125"/>
  <c r="I114" i="125" s="1"/>
  <c r="K69" i="125" s="1"/>
  <c r="H105" i="125"/>
  <c r="G105" i="125"/>
  <c r="F105" i="125"/>
  <c r="D76" i="125"/>
  <c r="M26" i="125"/>
  <c r="L26" i="125"/>
  <c r="K26" i="125"/>
  <c r="J26" i="125"/>
  <c r="I26" i="125"/>
  <c r="H26" i="125"/>
  <c r="G26" i="125"/>
  <c r="F26" i="125"/>
  <c r="E26" i="125"/>
  <c r="E112" i="125"/>
  <c r="E111" i="125"/>
  <c r="E110" i="125"/>
  <c r="E109" i="125"/>
  <c r="E108" i="125"/>
  <c r="E107" i="125"/>
  <c r="E106" i="125"/>
  <c r="M12" i="125"/>
  <c r="L12" i="125"/>
  <c r="K12" i="125"/>
  <c r="J12" i="125"/>
  <c r="I12" i="125"/>
  <c r="H12" i="125"/>
  <c r="G12" i="125"/>
  <c r="F12" i="125"/>
  <c r="E12" i="125"/>
  <c r="D12" i="125"/>
  <c r="N25" i="125"/>
  <c r="F1" i="125"/>
  <c r="F114" i="135" l="1"/>
  <c r="K39" i="135" s="1"/>
  <c r="H114" i="136"/>
  <c r="K59" i="136" s="1"/>
  <c r="G114" i="128"/>
  <c r="K49" i="128" s="1"/>
  <c r="I114" i="129"/>
  <c r="K69" i="129" s="1"/>
  <c r="G114" i="135"/>
  <c r="K49" i="135" s="1"/>
  <c r="I114" i="136"/>
  <c r="K69" i="136" s="1"/>
  <c r="J126" i="125"/>
  <c r="J122" i="125"/>
  <c r="I114" i="128"/>
  <c r="K69" i="128" s="1"/>
  <c r="F114" i="125"/>
  <c r="K39" i="125" s="1"/>
  <c r="L39" i="125" s="1"/>
  <c r="K40" i="125" s="1"/>
  <c r="L40" i="125" s="1"/>
  <c r="K41" i="125" s="1"/>
  <c r="L41" i="125" s="1"/>
  <c r="K42" i="125" s="1"/>
  <c r="H114" i="130"/>
  <c r="K59" i="130" s="1"/>
  <c r="H114" i="125"/>
  <c r="K59" i="125" s="1"/>
  <c r="F114" i="129"/>
  <c r="K39" i="129" s="1"/>
  <c r="L39" i="129" s="1"/>
  <c r="K40" i="129" s="1"/>
  <c r="J130" i="129"/>
  <c r="L131" i="135"/>
  <c r="J131" i="135"/>
  <c r="I132" i="125"/>
  <c r="I133" i="125" s="1"/>
  <c r="I132" i="131"/>
  <c r="I133" i="131" s="1"/>
  <c r="I134" i="131" s="1"/>
  <c r="G131" i="134"/>
  <c r="J131" i="134" s="1"/>
  <c r="I132" i="135"/>
  <c r="G132" i="135" s="1"/>
  <c r="L132" i="135" s="1"/>
  <c r="G131" i="132"/>
  <c r="J131" i="132" s="1"/>
  <c r="G131" i="128"/>
  <c r="J131" i="128" s="1"/>
  <c r="I132" i="136"/>
  <c r="G132" i="136" s="1"/>
  <c r="L49" i="128"/>
  <c r="K50" i="128" s="1"/>
  <c r="L50" i="128" s="1"/>
  <c r="K51" i="128" s="1"/>
  <c r="L51" i="128" s="1"/>
  <c r="K52" i="128" s="1"/>
  <c r="L52" i="128" s="1"/>
  <c r="K53" i="128" s="1"/>
  <c r="L53" i="128" s="1"/>
  <c r="L59" i="128"/>
  <c r="K60" i="128"/>
  <c r="D64" i="128"/>
  <c r="L69" i="128"/>
  <c r="K70" i="128" s="1"/>
  <c r="L69" i="125"/>
  <c r="D74" i="125" s="1"/>
  <c r="J127" i="125"/>
  <c r="H130" i="125"/>
  <c r="J123" i="125"/>
  <c r="H126" i="125"/>
  <c r="J130" i="125"/>
  <c r="L59" i="125"/>
  <c r="K60" i="125" s="1"/>
  <c r="L60" i="125" s="1"/>
  <c r="K61" i="125" s="1"/>
  <c r="L59" i="130"/>
  <c r="K60" i="130" s="1"/>
  <c r="L60" i="130" s="1"/>
  <c r="K61" i="130" s="1"/>
  <c r="H129" i="130"/>
  <c r="L69" i="130"/>
  <c r="K70" i="130" s="1"/>
  <c r="L70" i="130" s="1"/>
  <c r="K71" i="130" s="1"/>
  <c r="L71" i="130" s="1"/>
  <c r="K72" i="130" s="1"/>
  <c r="L72" i="130" s="1"/>
  <c r="K73" i="130" s="1"/>
  <c r="L73" i="130" s="1"/>
  <c r="L39" i="130"/>
  <c r="K40" i="130" s="1"/>
  <c r="L40" i="130" s="1"/>
  <c r="K41" i="130" s="1"/>
  <c r="L41" i="130" s="1"/>
  <c r="K42" i="130" s="1"/>
  <c r="L59" i="131"/>
  <c r="D64" i="131" s="1"/>
  <c r="L69" i="131"/>
  <c r="D74" i="131" s="1"/>
  <c r="K70" i="131"/>
  <c r="L39" i="131"/>
  <c r="K40" i="131" s="1"/>
  <c r="D44" i="131"/>
  <c r="L126" i="129"/>
  <c r="L59" i="129"/>
  <c r="K60" i="129" s="1"/>
  <c r="L69" i="129"/>
  <c r="K70" i="129" s="1"/>
  <c r="J126" i="129"/>
  <c r="L59" i="134"/>
  <c r="K60" i="134" s="1"/>
  <c r="D64" i="134"/>
  <c r="L39" i="132"/>
  <c r="K40" i="132" s="1"/>
  <c r="L40" i="132" s="1"/>
  <c r="K41" i="132" s="1"/>
  <c r="L41" i="132" s="1"/>
  <c r="K42" i="132" s="1"/>
  <c r="L42" i="132" s="1"/>
  <c r="K43" i="132" s="1"/>
  <c r="L43" i="132" s="1"/>
  <c r="L39" i="135"/>
  <c r="K40" i="135" s="1"/>
  <c r="L59" i="135"/>
  <c r="K60" i="135" s="1"/>
  <c r="L60" i="135" s="1"/>
  <c r="K61" i="135" s="1"/>
  <c r="L69" i="136"/>
  <c r="K70" i="136" s="1"/>
  <c r="L39" i="136"/>
  <c r="D44" i="136" s="1"/>
  <c r="L59" i="136"/>
  <c r="F114" i="134"/>
  <c r="K39" i="134" s="1"/>
  <c r="L128" i="134"/>
  <c r="H131" i="134"/>
  <c r="L131" i="134"/>
  <c r="H123" i="134"/>
  <c r="G132" i="134"/>
  <c r="L132" i="134" s="1"/>
  <c r="J121" i="129"/>
  <c r="J125" i="129"/>
  <c r="J129" i="129"/>
  <c r="L123" i="129"/>
  <c r="L127" i="129"/>
  <c r="H127" i="131"/>
  <c r="H129" i="131"/>
  <c r="H125" i="130"/>
  <c r="H127" i="130"/>
  <c r="J129" i="130"/>
  <c r="H121" i="130"/>
  <c r="H123" i="130"/>
  <c r="J125" i="130"/>
  <c r="H123" i="125"/>
  <c r="J124" i="125"/>
  <c r="H127" i="125"/>
  <c r="J128" i="125"/>
  <c r="H121" i="125"/>
  <c r="H125" i="125"/>
  <c r="H129" i="125"/>
  <c r="J121" i="125"/>
  <c r="H124" i="125"/>
  <c r="J125" i="125"/>
  <c r="H128" i="125"/>
  <c r="J129" i="125"/>
  <c r="L128" i="132"/>
  <c r="H114" i="132"/>
  <c r="K59" i="132" s="1"/>
  <c r="L124" i="132"/>
  <c r="L122" i="135"/>
  <c r="L130" i="135"/>
  <c r="L124" i="135"/>
  <c r="L126" i="135"/>
  <c r="L128" i="135"/>
  <c r="H123" i="132"/>
  <c r="H127" i="132"/>
  <c r="H131" i="132"/>
  <c r="L121" i="132"/>
  <c r="L125" i="132"/>
  <c r="L129" i="132"/>
  <c r="J122" i="130"/>
  <c r="J126" i="130"/>
  <c r="J130" i="130"/>
  <c r="G114" i="130"/>
  <c r="K49" i="130" s="1"/>
  <c r="H122" i="131"/>
  <c r="H124" i="131"/>
  <c r="H126" i="131"/>
  <c r="H128" i="131"/>
  <c r="H130" i="131"/>
  <c r="H121" i="131"/>
  <c r="H123" i="131"/>
  <c r="H125" i="131"/>
  <c r="L121" i="129"/>
  <c r="J124" i="129"/>
  <c r="L125" i="129"/>
  <c r="J128" i="129"/>
  <c r="L129" i="129"/>
  <c r="J123" i="129"/>
  <c r="L124" i="129"/>
  <c r="J127" i="129"/>
  <c r="L128" i="129"/>
  <c r="L124" i="134"/>
  <c r="H127" i="134"/>
  <c r="L127" i="134"/>
  <c r="L123" i="134"/>
  <c r="H122" i="134"/>
  <c r="H126" i="134"/>
  <c r="H130" i="134"/>
  <c r="G114" i="134"/>
  <c r="K49" i="134" s="1"/>
  <c r="H121" i="134"/>
  <c r="L122" i="134"/>
  <c r="H125" i="134"/>
  <c r="L126" i="134"/>
  <c r="H129" i="134"/>
  <c r="L130" i="134"/>
  <c r="L121" i="134"/>
  <c r="H124" i="134"/>
  <c r="L125" i="134"/>
  <c r="H128" i="134"/>
  <c r="L129" i="134"/>
  <c r="I114" i="134"/>
  <c r="K69" i="134" s="1"/>
  <c r="G114" i="129"/>
  <c r="K49" i="129" s="1"/>
  <c r="J121" i="131"/>
  <c r="J122" i="131"/>
  <c r="J123" i="131"/>
  <c r="J124" i="131"/>
  <c r="J125" i="131"/>
  <c r="J126" i="131"/>
  <c r="J127" i="131"/>
  <c r="J128" i="131"/>
  <c r="J129" i="131"/>
  <c r="J130" i="131"/>
  <c r="G114" i="131"/>
  <c r="K49" i="131" s="1"/>
  <c r="H122" i="130"/>
  <c r="J123" i="130"/>
  <c r="H126" i="130"/>
  <c r="J127" i="130"/>
  <c r="H130" i="130"/>
  <c r="H124" i="130"/>
  <c r="H128" i="130"/>
  <c r="J124" i="130"/>
  <c r="J128" i="130"/>
  <c r="G114" i="125"/>
  <c r="K49" i="125" s="1"/>
  <c r="F114" i="128"/>
  <c r="K39" i="128" s="1"/>
  <c r="I114" i="132"/>
  <c r="K69" i="132" s="1"/>
  <c r="H122" i="132"/>
  <c r="L123" i="132"/>
  <c r="H126" i="132"/>
  <c r="L127" i="132"/>
  <c r="H130" i="132"/>
  <c r="G114" i="132"/>
  <c r="K49" i="132" s="1"/>
  <c r="H121" i="132"/>
  <c r="L122" i="132"/>
  <c r="H125" i="132"/>
  <c r="L126" i="132"/>
  <c r="H129" i="132"/>
  <c r="L130" i="132"/>
  <c r="I114" i="135"/>
  <c r="K69" i="135" s="1"/>
  <c r="I133" i="135"/>
  <c r="I134" i="135" s="1"/>
  <c r="I135" i="135" s="1"/>
  <c r="L121" i="135"/>
  <c r="L123" i="135"/>
  <c r="L125" i="135"/>
  <c r="L127" i="135"/>
  <c r="L129" i="135"/>
  <c r="L121" i="136"/>
  <c r="L122" i="136"/>
  <c r="L123" i="136"/>
  <c r="L124" i="136"/>
  <c r="L125" i="136"/>
  <c r="L126" i="136"/>
  <c r="L127" i="136"/>
  <c r="L128" i="136"/>
  <c r="L129" i="136"/>
  <c r="L130" i="136"/>
  <c r="G114" i="136"/>
  <c r="K49" i="136" s="1"/>
  <c r="H121" i="136"/>
  <c r="H122" i="136"/>
  <c r="H123" i="136"/>
  <c r="H124" i="136"/>
  <c r="H125" i="136"/>
  <c r="H126" i="136"/>
  <c r="H127" i="136"/>
  <c r="H128" i="136"/>
  <c r="H129" i="136"/>
  <c r="H130" i="136"/>
  <c r="D26" i="136"/>
  <c r="J132" i="136"/>
  <c r="L132" i="136"/>
  <c r="H132" i="136"/>
  <c r="J131" i="136"/>
  <c r="L131" i="136"/>
  <c r="H131" i="136"/>
  <c r="I133" i="136"/>
  <c r="E105" i="136"/>
  <c r="E113" i="136"/>
  <c r="E105" i="135"/>
  <c r="E113" i="135"/>
  <c r="J121" i="135"/>
  <c r="J122" i="135"/>
  <c r="J123" i="135"/>
  <c r="J124" i="135"/>
  <c r="J125" i="135"/>
  <c r="J126" i="135"/>
  <c r="J127" i="135"/>
  <c r="J128" i="135"/>
  <c r="J129" i="135"/>
  <c r="J130" i="135"/>
  <c r="J132" i="135"/>
  <c r="E106" i="135"/>
  <c r="H132" i="135"/>
  <c r="H131" i="135"/>
  <c r="I134" i="134"/>
  <c r="G133" i="134"/>
  <c r="E105" i="134"/>
  <c r="E113" i="134"/>
  <c r="J132" i="134"/>
  <c r="D26" i="134"/>
  <c r="H132" i="134"/>
  <c r="I134" i="132"/>
  <c r="G133" i="132"/>
  <c r="E105" i="132"/>
  <c r="E113" i="132"/>
  <c r="G132" i="132"/>
  <c r="D26" i="132"/>
  <c r="G133" i="131"/>
  <c r="L131" i="131"/>
  <c r="H131" i="131"/>
  <c r="J131" i="131"/>
  <c r="E105" i="131"/>
  <c r="E113" i="131"/>
  <c r="G133" i="130"/>
  <c r="I134" i="130"/>
  <c r="L131" i="130"/>
  <c r="H131" i="130"/>
  <c r="J131" i="130"/>
  <c r="G132" i="130"/>
  <c r="D26" i="130"/>
  <c r="E105" i="130"/>
  <c r="E113" i="130"/>
  <c r="J131" i="129"/>
  <c r="L131" i="129"/>
  <c r="H131" i="129"/>
  <c r="I132" i="129"/>
  <c r="E105" i="129"/>
  <c r="E113" i="129"/>
  <c r="N25" i="129"/>
  <c r="D26" i="129"/>
  <c r="G132" i="128"/>
  <c r="I133" i="128"/>
  <c r="D26" i="128"/>
  <c r="H121" i="128"/>
  <c r="H122" i="128"/>
  <c r="H123" i="128"/>
  <c r="H124" i="128"/>
  <c r="H125" i="128"/>
  <c r="H126" i="128"/>
  <c r="H127" i="128"/>
  <c r="H128" i="128"/>
  <c r="H129" i="128"/>
  <c r="H130" i="128"/>
  <c r="E105" i="128"/>
  <c r="E113" i="128"/>
  <c r="J121" i="128"/>
  <c r="J122" i="128"/>
  <c r="J123" i="128"/>
  <c r="J124" i="128"/>
  <c r="J125" i="128"/>
  <c r="J126" i="128"/>
  <c r="J127" i="128"/>
  <c r="J128" i="128"/>
  <c r="J129" i="128"/>
  <c r="J130" i="128"/>
  <c r="I134" i="125"/>
  <c r="G133" i="125"/>
  <c r="J131" i="125"/>
  <c r="L131" i="125"/>
  <c r="H131" i="125"/>
  <c r="E105" i="125"/>
  <c r="E113" i="125"/>
  <c r="G132" i="125"/>
  <c r="D26" i="125"/>
  <c r="L80" i="3"/>
  <c r="L79" i="3"/>
  <c r="L78" i="3"/>
  <c r="L77" i="3"/>
  <c r="L76" i="3"/>
  <c r="L75" i="3"/>
  <c r="L74" i="3"/>
  <c r="L73" i="3"/>
  <c r="L72" i="3"/>
  <c r="L20" i="3"/>
  <c r="L18" i="3"/>
  <c r="K20" i="3"/>
  <c r="K18" i="3"/>
  <c r="J20" i="3"/>
  <c r="J18" i="3"/>
  <c r="I20" i="3"/>
  <c r="I18" i="3"/>
  <c r="H20" i="3"/>
  <c r="H18" i="3"/>
  <c r="G20" i="3"/>
  <c r="G18" i="3"/>
  <c r="F20" i="3"/>
  <c r="F18" i="3"/>
  <c r="E20" i="3"/>
  <c r="E18" i="3"/>
  <c r="D20" i="3"/>
  <c r="D18" i="3"/>
  <c r="L17" i="3"/>
  <c r="K17" i="3"/>
  <c r="J17" i="3"/>
  <c r="I17" i="3"/>
  <c r="H17" i="3"/>
  <c r="G17" i="3"/>
  <c r="F17" i="3"/>
  <c r="E17" i="3"/>
  <c r="D17" i="3"/>
  <c r="C17" i="3"/>
  <c r="C18" i="3"/>
  <c r="C20" i="3"/>
  <c r="C191" i="124"/>
  <c r="C185" i="124"/>
  <c r="C186" i="124" s="1"/>
  <c r="L169" i="124"/>
  <c r="L170" i="124" s="1"/>
  <c r="L171" i="124" s="1"/>
  <c r="C169" i="124"/>
  <c r="C168" i="124"/>
  <c r="F167" i="124"/>
  <c r="C167" i="124"/>
  <c r="H133" i="124"/>
  <c r="F133" i="124"/>
  <c r="H132" i="124"/>
  <c r="F125" i="124"/>
  <c r="H125" i="124" s="1"/>
  <c r="H124" i="124"/>
  <c r="I108" i="124"/>
  <c r="H108" i="124"/>
  <c r="G108" i="124"/>
  <c r="I107" i="124"/>
  <c r="H107" i="124"/>
  <c r="G107" i="124"/>
  <c r="I106" i="124"/>
  <c r="H106" i="124"/>
  <c r="G106" i="124"/>
  <c r="I105" i="124"/>
  <c r="H105" i="124"/>
  <c r="G105" i="124"/>
  <c r="I104" i="124"/>
  <c r="H104" i="124"/>
  <c r="G104" i="124"/>
  <c r="I103" i="124"/>
  <c r="H103" i="124"/>
  <c r="G103" i="124"/>
  <c r="I102" i="124"/>
  <c r="H102" i="124"/>
  <c r="G102" i="124"/>
  <c r="I101" i="124"/>
  <c r="H101" i="124"/>
  <c r="G101" i="124"/>
  <c r="I100" i="124"/>
  <c r="H100" i="124"/>
  <c r="G100" i="124"/>
  <c r="G109" i="124" s="1"/>
  <c r="D76" i="124"/>
  <c r="H69" i="124"/>
  <c r="D69" i="124"/>
  <c r="H68" i="124"/>
  <c r="D68" i="124"/>
  <c r="H67" i="124"/>
  <c r="D67" i="124"/>
  <c r="H66" i="124"/>
  <c r="D66" i="124"/>
  <c r="H59" i="124"/>
  <c r="D59" i="124"/>
  <c r="H58" i="124"/>
  <c r="D58" i="124"/>
  <c r="H57" i="124"/>
  <c r="D57" i="124"/>
  <c r="H56" i="124"/>
  <c r="D56" i="124"/>
  <c r="H49" i="124"/>
  <c r="D49" i="124"/>
  <c r="H48" i="124"/>
  <c r="D48" i="124"/>
  <c r="H47" i="124"/>
  <c r="D47" i="124"/>
  <c r="H46" i="124"/>
  <c r="D46" i="124"/>
  <c r="H38" i="124"/>
  <c r="H39" i="124" s="1"/>
  <c r="D38" i="124"/>
  <c r="D39" i="124" s="1"/>
  <c r="H33" i="124"/>
  <c r="H70" i="124" s="1"/>
  <c r="D33" i="124"/>
  <c r="H32" i="124"/>
  <c r="D32" i="124"/>
  <c r="L26" i="124"/>
  <c r="D13" i="124"/>
  <c r="D12" i="124"/>
  <c r="D11" i="124"/>
  <c r="E1" i="124"/>
  <c r="C191" i="123"/>
  <c r="C185" i="123"/>
  <c r="C186" i="123" s="1"/>
  <c r="L169" i="123"/>
  <c r="L170" i="123" s="1"/>
  <c r="L171" i="123" s="1"/>
  <c r="C168" i="123"/>
  <c r="C169" i="123" s="1"/>
  <c r="F167" i="123"/>
  <c r="C167" i="123"/>
  <c r="F133" i="123"/>
  <c r="H133" i="123" s="1"/>
  <c r="H132" i="123"/>
  <c r="F125" i="123"/>
  <c r="H125" i="123" s="1"/>
  <c r="H124" i="123"/>
  <c r="I108" i="123"/>
  <c r="H108" i="123"/>
  <c r="G108" i="123"/>
  <c r="I107" i="123"/>
  <c r="H107" i="123"/>
  <c r="G107" i="123"/>
  <c r="I106" i="123"/>
  <c r="H106" i="123"/>
  <c r="G106" i="123"/>
  <c r="I105" i="123"/>
  <c r="H105" i="123"/>
  <c r="G105" i="123"/>
  <c r="I104" i="123"/>
  <c r="H104" i="123"/>
  <c r="G104" i="123"/>
  <c r="I103" i="123"/>
  <c r="H103" i="123"/>
  <c r="G103" i="123"/>
  <c r="I102" i="123"/>
  <c r="H102" i="123"/>
  <c r="G102" i="123"/>
  <c r="I101" i="123"/>
  <c r="H101" i="123"/>
  <c r="G101" i="123"/>
  <c r="I100" i="123"/>
  <c r="I109" i="123" s="1"/>
  <c r="H100" i="123"/>
  <c r="G100" i="123"/>
  <c r="D76" i="123"/>
  <c r="H69" i="123"/>
  <c r="D69" i="123"/>
  <c r="H68" i="123"/>
  <c r="D68" i="123"/>
  <c r="H67" i="123"/>
  <c r="D67" i="123"/>
  <c r="H66" i="123"/>
  <c r="D66" i="123"/>
  <c r="H59" i="123"/>
  <c r="D59" i="123"/>
  <c r="H58" i="123"/>
  <c r="D58" i="123"/>
  <c r="H57" i="123"/>
  <c r="D57" i="123"/>
  <c r="H56" i="123"/>
  <c r="D56" i="123"/>
  <c r="H49" i="123"/>
  <c r="D49" i="123"/>
  <c r="H48" i="123"/>
  <c r="D48" i="123"/>
  <c r="H47" i="123"/>
  <c r="D47" i="123"/>
  <c r="H46" i="123"/>
  <c r="D46" i="123"/>
  <c r="H38" i="123"/>
  <c r="H39" i="123" s="1"/>
  <c r="D38" i="123"/>
  <c r="D39" i="123" s="1"/>
  <c r="H33" i="123"/>
  <c r="D33" i="123"/>
  <c r="H32" i="123"/>
  <c r="D32" i="123"/>
  <c r="L26" i="123"/>
  <c r="D13" i="123"/>
  <c r="D12" i="123"/>
  <c r="D11" i="123"/>
  <c r="E1" i="123"/>
  <c r="C191" i="122"/>
  <c r="C185" i="122"/>
  <c r="C186" i="122" s="1"/>
  <c r="L169" i="122"/>
  <c r="L170" i="122" s="1"/>
  <c r="L171" i="122" s="1"/>
  <c r="C169" i="122"/>
  <c r="C170" i="122" s="1"/>
  <c r="C168" i="122"/>
  <c r="F167" i="122"/>
  <c r="C167" i="122"/>
  <c r="F133" i="122"/>
  <c r="H133" i="122" s="1"/>
  <c r="H132" i="122"/>
  <c r="F125" i="122"/>
  <c r="H125" i="122" s="1"/>
  <c r="H124" i="122"/>
  <c r="I108" i="122"/>
  <c r="H108" i="122"/>
  <c r="G108" i="122"/>
  <c r="I107" i="122"/>
  <c r="H107" i="122"/>
  <c r="G107" i="122"/>
  <c r="I106" i="122"/>
  <c r="H106" i="122"/>
  <c r="G106" i="122"/>
  <c r="I105" i="122"/>
  <c r="H105" i="122"/>
  <c r="G105" i="122"/>
  <c r="I104" i="122"/>
  <c r="H104" i="122"/>
  <c r="G104" i="122"/>
  <c r="I103" i="122"/>
  <c r="H103" i="122"/>
  <c r="G103" i="122"/>
  <c r="I102" i="122"/>
  <c r="H102" i="122"/>
  <c r="G102" i="122"/>
  <c r="I101" i="122"/>
  <c r="H101" i="122"/>
  <c r="G101" i="122"/>
  <c r="I100" i="122"/>
  <c r="H100" i="122"/>
  <c r="G100" i="122"/>
  <c r="D76" i="122"/>
  <c r="H69" i="122"/>
  <c r="D69" i="122"/>
  <c r="H68" i="122"/>
  <c r="D68" i="122"/>
  <c r="H67" i="122"/>
  <c r="D67" i="122"/>
  <c r="H66" i="122"/>
  <c r="D66" i="122"/>
  <c r="H59" i="122"/>
  <c r="D59" i="122"/>
  <c r="H58" i="122"/>
  <c r="D58" i="122"/>
  <c r="H57" i="122"/>
  <c r="D57" i="122"/>
  <c r="H56" i="122"/>
  <c r="D56" i="122"/>
  <c r="H49" i="122"/>
  <c r="D49" i="122"/>
  <c r="H48" i="122"/>
  <c r="D48" i="122"/>
  <c r="H47" i="122"/>
  <c r="D47" i="122"/>
  <c r="H46" i="122"/>
  <c r="D46" i="122"/>
  <c r="H38" i="122"/>
  <c r="H39" i="122" s="1"/>
  <c r="D38" i="122"/>
  <c r="D39" i="122" s="1"/>
  <c r="H33" i="122"/>
  <c r="D33" i="122"/>
  <c r="H32" i="122"/>
  <c r="D32" i="122"/>
  <c r="L26" i="122"/>
  <c r="D13" i="122"/>
  <c r="D12" i="122"/>
  <c r="D11" i="122"/>
  <c r="E1" i="122"/>
  <c r="C191" i="121"/>
  <c r="C185" i="121"/>
  <c r="C186" i="121" s="1"/>
  <c r="L169" i="121"/>
  <c r="L170" i="121" s="1"/>
  <c r="L171" i="121" s="1"/>
  <c r="C168" i="121"/>
  <c r="C169" i="121" s="1"/>
  <c r="C170" i="121" s="1"/>
  <c r="F167" i="121"/>
  <c r="C167" i="121"/>
  <c r="H133" i="121"/>
  <c r="F133" i="121"/>
  <c r="H132" i="121"/>
  <c r="F125" i="121"/>
  <c r="H125" i="121" s="1"/>
  <c r="H124" i="121"/>
  <c r="I108" i="121"/>
  <c r="H108" i="121"/>
  <c r="G108" i="121"/>
  <c r="I107" i="121"/>
  <c r="H107" i="121"/>
  <c r="G107" i="121"/>
  <c r="I106" i="121"/>
  <c r="H106" i="121"/>
  <c r="G106" i="121"/>
  <c r="I105" i="121"/>
  <c r="H105" i="121"/>
  <c r="G105" i="121"/>
  <c r="I104" i="121"/>
  <c r="H104" i="121"/>
  <c r="G104" i="121"/>
  <c r="I103" i="121"/>
  <c r="H103" i="121"/>
  <c r="G103" i="121"/>
  <c r="I102" i="121"/>
  <c r="H102" i="121"/>
  <c r="G102" i="121"/>
  <c r="I101" i="121"/>
  <c r="H101" i="121"/>
  <c r="G101" i="121"/>
  <c r="I100" i="121"/>
  <c r="H100" i="121"/>
  <c r="H109" i="121" s="1"/>
  <c r="H74" i="121" s="1"/>
  <c r="C183" i="121" s="1"/>
  <c r="C184" i="121" s="1"/>
  <c r="G100" i="121"/>
  <c r="D76" i="121"/>
  <c r="H69" i="121"/>
  <c r="D69" i="121"/>
  <c r="H68" i="121"/>
  <c r="D68" i="121"/>
  <c r="H67" i="121"/>
  <c r="D67" i="121"/>
  <c r="H66" i="121"/>
  <c r="D66" i="121"/>
  <c r="H59" i="121"/>
  <c r="D59" i="121"/>
  <c r="H58" i="121"/>
  <c r="D58" i="121"/>
  <c r="H57" i="121"/>
  <c r="D57" i="121"/>
  <c r="H56" i="121"/>
  <c r="D56" i="121"/>
  <c r="H49" i="121"/>
  <c r="D49" i="121"/>
  <c r="H48" i="121"/>
  <c r="D48" i="121"/>
  <c r="H47" i="121"/>
  <c r="D47" i="121"/>
  <c r="H46" i="121"/>
  <c r="D46" i="121"/>
  <c r="H38" i="121"/>
  <c r="H39" i="121" s="1"/>
  <c r="D38" i="121"/>
  <c r="D39" i="121" s="1"/>
  <c r="H33" i="121"/>
  <c r="H70" i="121" s="1"/>
  <c r="D33" i="121"/>
  <c r="H32" i="121"/>
  <c r="D32" i="121"/>
  <c r="L26" i="121"/>
  <c r="D13" i="121"/>
  <c r="D12" i="121"/>
  <c r="D11" i="121"/>
  <c r="E1" i="121"/>
  <c r="C191" i="120"/>
  <c r="C185" i="120"/>
  <c r="C186" i="120" s="1"/>
  <c r="L169" i="120"/>
  <c r="L170" i="120" s="1"/>
  <c r="L171" i="120" s="1"/>
  <c r="C168" i="120"/>
  <c r="C169" i="120" s="1"/>
  <c r="C170" i="120" s="1"/>
  <c r="F167" i="120"/>
  <c r="C167" i="120"/>
  <c r="F133" i="120"/>
  <c r="H133" i="120" s="1"/>
  <c r="H132" i="120"/>
  <c r="H125" i="120"/>
  <c r="F125" i="120"/>
  <c r="H124" i="120"/>
  <c r="I108" i="120"/>
  <c r="H108" i="120"/>
  <c r="G108" i="120"/>
  <c r="I107" i="120"/>
  <c r="H107" i="120"/>
  <c r="G107" i="120"/>
  <c r="I106" i="120"/>
  <c r="H106" i="120"/>
  <c r="G106" i="120"/>
  <c r="I105" i="120"/>
  <c r="H105" i="120"/>
  <c r="G105" i="120"/>
  <c r="I104" i="120"/>
  <c r="H104" i="120"/>
  <c r="G104" i="120"/>
  <c r="I103" i="120"/>
  <c r="H103" i="120"/>
  <c r="G103" i="120"/>
  <c r="I102" i="120"/>
  <c r="H102" i="120"/>
  <c r="G102" i="120"/>
  <c r="I101" i="120"/>
  <c r="H101" i="120"/>
  <c r="G101" i="120"/>
  <c r="I100" i="120"/>
  <c r="H100" i="120"/>
  <c r="G100" i="120"/>
  <c r="D76" i="120"/>
  <c r="H69" i="120"/>
  <c r="D69" i="120"/>
  <c r="H68" i="120"/>
  <c r="D68" i="120"/>
  <c r="H67" i="120"/>
  <c r="D67" i="120"/>
  <c r="H66" i="120"/>
  <c r="D66" i="120"/>
  <c r="H59" i="120"/>
  <c r="D59" i="120"/>
  <c r="H58" i="120"/>
  <c r="D58" i="120"/>
  <c r="H57" i="120"/>
  <c r="D57" i="120"/>
  <c r="H56" i="120"/>
  <c r="D56" i="120"/>
  <c r="H49" i="120"/>
  <c r="D49" i="120"/>
  <c r="H48" i="120"/>
  <c r="D48" i="120"/>
  <c r="H47" i="120"/>
  <c r="D47" i="120"/>
  <c r="H46" i="120"/>
  <c r="D46" i="120"/>
  <c r="H38" i="120"/>
  <c r="H39" i="120" s="1"/>
  <c r="D38" i="120"/>
  <c r="D39" i="120" s="1"/>
  <c r="H33" i="120"/>
  <c r="D33" i="120"/>
  <c r="H32" i="120"/>
  <c r="D32" i="120"/>
  <c r="L26" i="120"/>
  <c r="D13" i="120"/>
  <c r="D12" i="120"/>
  <c r="D11" i="120"/>
  <c r="E1" i="120"/>
  <c r="C191" i="119"/>
  <c r="C185" i="119"/>
  <c r="C186" i="119" s="1"/>
  <c r="L169" i="119"/>
  <c r="L170" i="119" s="1"/>
  <c r="L171" i="119" s="1"/>
  <c r="C168" i="119"/>
  <c r="C169" i="119" s="1"/>
  <c r="F167" i="119"/>
  <c r="C167" i="119"/>
  <c r="F133" i="119"/>
  <c r="H133" i="119" s="1"/>
  <c r="H132" i="119"/>
  <c r="H125" i="119"/>
  <c r="F125" i="119"/>
  <c r="H124" i="119"/>
  <c r="I108" i="119"/>
  <c r="H108" i="119"/>
  <c r="G108" i="119"/>
  <c r="I107" i="119"/>
  <c r="H107" i="119"/>
  <c r="G107" i="119"/>
  <c r="I106" i="119"/>
  <c r="H106" i="119"/>
  <c r="G106" i="119"/>
  <c r="I105" i="119"/>
  <c r="H105" i="119"/>
  <c r="G105" i="119"/>
  <c r="I104" i="119"/>
  <c r="H104" i="119"/>
  <c r="G104" i="119"/>
  <c r="I103" i="119"/>
  <c r="H103" i="119"/>
  <c r="G103" i="119"/>
  <c r="I102" i="119"/>
  <c r="H102" i="119"/>
  <c r="G102" i="119"/>
  <c r="I101" i="119"/>
  <c r="H101" i="119"/>
  <c r="G101" i="119"/>
  <c r="I100" i="119"/>
  <c r="H100" i="119"/>
  <c r="G100" i="119"/>
  <c r="D76" i="119"/>
  <c r="H69" i="119"/>
  <c r="D69" i="119"/>
  <c r="H68" i="119"/>
  <c r="D68" i="119"/>
  <c r="H67" i="119"/>
  <c r="D67" i="119"/>
  <c r="H66" i="119"/>
  <c r="D66" i="119"/>
  <c r="H59" i="119"/>
  <c r="D59" i="119"/>
  <c r="H58" i="119"/>
  <c r="D58" i="119"/>
  <c r="H57" i="119"/>
  <c r="D57" i="119"/>
  <c r="H56" i="119"/>
  <c r="D56" i="119"/>
  <c r="H49" i="119"/>
  <c r="D49" i="119"/>
  <c r="H48" i="119"/>
  <c r="D48" i="119"/>
  <c r="H47" i="119"/>
  <c r="D47" i="119"/>
  <c r="H46" i="119"/>
  <c r="D46" i="119"/>
  <c r="H38" i="119"/>
  <c r="H39" i="119" s="1"/>
  <c r="D38" i="119"/>
  <c r="D39" i="119" s="1"/>
  <c r="H33" i="119"/>
  <c r="D33" i="119"/>
  <c r="H32" i="119"/>
  <c r="D32" i="119"/>
  <c r="L26" i="119"/>
  <c r="D13" i="119"/>
  <c r="D12" i="119"/>
  <c r="D11" i="119"/>
  <c r="E1" i="119"/>
  <c r="C191" i="118"/>
  <c r="C185" i="118"/>
  <c r="C186" i="118" s="1"/>
  <c r="L169" i="118"/>
  <c r="L170" i="118" s="1"/>
  <c r="L171" i="118" s="1"/>
  <c r="C168" i="118"/>
  <c r="C169" i="118" s="1"/>
  <c r="F167" i="118"/>
  <c r="C167" i="118"/>
  <c r="H133" i="118"/>
  <c r="F133" i="118"/>
  <c r="H132" i="118"/>
  <c r="F125" i="118"/>
  <c r="H125" i="118" s="1"/>
  <c r="H124" i="118"/>
  <c r="I108" i="118"/>
  <c r="H108" i="118"/>
  <c r="G108" i="118"/>
  <c r="I107" i="118"/>
  <c r="H107" i="118"/>
  <c r="G107" i="118"/>
  <c r="I106" i="118"/>
  <c r="H106" i="118"/>
  <c r="G106" i="118"/>
  <c r="I105" i="118"/>
  <c r="H105" i="118"/>
  <c r="G105" i="118"/>
  <c r="I104" i="118"/>
  <c r="H104" i="118"/>
  <c r="G104" i="118"/>
  <c r="I103" i="118"/>
  <c r="H103" i="118"/>
  <c r="G103" i="118"/>
  <c r="I102" i="118"/>
  <c r="H102" i="118"/>
  <c r="G102" i="118"/>
  <c r="I101" i="118"/>
  <c r="H101" i="118"/>
  <c r="G101" i="118"/>
  <c r="I100" i="118"/>
  <c r="I109" i="118" s="1"/>
  <c r="H100" i="118"/>
  <c r="G100" i="118"/>
  <c r="D76" i="118"/>
  <c r="H69" i="118"/>
  <c r="D69" i="118"/>
  <c r="H68" i="118"/>
  <c r="D68" i="118"/>
  <c r="H67" i="118"/>
  <c r="D67" i="118"/>
  <c r="H66" i="118"/>
  <c r="D66" i="118"/>
  <c r="H59" i="118"/>
  <c r="D59" i="118"/>
  <c r="H58" i="118"/>
  <c r="D58" i="118"/>
  <c r="H57" i="118"/>
  <c r="D57" i="118"/>
  <c r="H56" i="118"/>
  <c r="D56" i="118"/>
  <c r="H49" i="118"/>
  <c r="D49" i="118"/>
  <c r="H48" i="118"/>
  <c r="D48" i="118"/>
  <c r="H47" i="118"/>
  <c r="D47" i="118"/>
  <c r="H46" i="118"/>
  <c r="D46" i="118"/>
  <c r="H38" i="118"/>
  <c r="H39" i="118" s="1"/>
  <c r="D38" i="118"/>
  <c r="D39" i="118" s="1"/>
  <c r="H33" i="118"/>
  <c r="D33" i="118"/>
  <c r="D70" i="118" s="1"/>
  <c r="H32" i="118"/>
  <c r="D32" i="118"/>
  <c r="L26" i="118"/>
  <c r="D13" i="118"/>
  <c r="D12" i="118"/>
  <c r="D11" i="118"/>
  <c r="E1" i="118"/>
  <c r="C191" i="117"/>
  <c r="C185" i="117"/>
  <c r="C186" i="117" s="1"/>
  <c r="L169" i="117"/>
  <c r="L170" i="117" s="1"/>
  <c r="L171" i="117" s="1"/>
  <c r="C168" i="117"/>
  <c r="C169" i="117" s="1"/>
  <c r="F167" i="117"/>
  <c r="C167" i="117"/>
  <c r="F133" i="117"/>
  <c r="H133" i="117" s="1"/>
  <c r="H132" i="117"/>
  <c r="F125" i="117"/>
  <c r="H125" i="117" s="1"/>
  <c r="H124" i="117"/>
  <c r="I108" i="117"/>
  <c r="H108" i="117"/>
  <c r="G108" i="117"/>
  <c r="I107" i="117"/>
  <c r="H107" i="117"/>
  <c r="G107" i="117"/>
  <c r="I106" i="117"/>
  <c r="H106" i="117"/>
  <c r="G106" i="117"/>
  <c r="I105" i="117"/>
  <c r="H105" i="117"/>
  <c r="G105" i="117"/>
  <c r="I104" i="117"/>
  <c r="H104" i="117"/>
  <c r="G104" i="117"/>
  <c r="I103" i="117"/>
  <c r="H103" i="117"/>
  <c r="G103" i="117"/>
  <c r="I102" i="117"/>
  <c r="H102" i="117"/>
  <c r="G102" i="117"/>
  <c r="I101" i="117"/>
  <c r="H101" i="117"/>
  <c r="G101" i="117"/>
  <c r="I100" i="117"/>
  <c r="H100" i="117"/>
  <c r="G100" i="117"/>
  <c r="D76" i="117"/>
  <c r="H69" i="117"/>
  <c r="D69" i="117"/>
  <c r="H68" i="117"/>
  <c r="D68" i="117"/>
  <c r="H67" i="117"/>
  <c r="D67" i="117"/>
  <c r="H66" i="117"/>
  <c r="D66" i="117"/>
  <c r="H59" i="117"/>
  <c r="D59" i="117"/>
  <c r="H58" i="117"/>
  <c r="D58" i="117"/>
  <c r="H57" i="117"/>
  <c r="D57" i="117"/>
  <c r="H56" i="117"/>
  <c r="D56" i="117"/>
  <c r="H49" i="117"/>
  <c r="D49" i="117"/>
  <c r="H48" i="117"/>
  <c r="D48" i="117"/>
  <c r="H47" i="117"/>
  <c r="D47" i="117"/>
  <c r="H46" i="117"/>
  <c r="D46" i="117"/>
  <c r="H38" i="117"/>
  <c r="H39" i="117" s="1"/>
  <c r="D38" i="117"/>
  <c r="D39" i="117" s="1"/>
  <c r="H32" i="117"/>
  <c r="D32" i="117"/>
  <c r="L26" i="117"/>
  <c r="D13" i="117"/>
  <c r="D12" i="117"/>
  <c r="D11" i="117"/>
  <c r="E1" i="117"/>
  <c r="C191" i="116"/>
  <c r="C185" i="116"/>
  <c r="C186" i="116" s="1"/>
  <c r="L169" i="116"/>
  <c r="L170" i="116" s="1"/>
  <c r="L171" i="116" s="1"/>
  <c r="C168" i="116"/>
  <c r="C169" i="116" s="1"/>
  <c r="F167" i="116"/>
  <c r="C167" i="116"/>
  <c r="F133" i="116"/>
  <c r="H133" i="116" s="1"/>
  <c r="H132" i="116"/>
  <c r="F125" i="116"/>
  <c r="H125" i="116" s="1"/>
  <c r="H124" i="116"/>
  <c r="I108" i="116"/>
  <c r="H108" i="116"/>
  <c r="G108" i="116"/>
  <c r="I107" i="116"/>
  <c r="H107" i="116"/>
  <c r="G107" i="116"/>
  <c r="I106" i="116"/>
  <c r="H106" i="116"/>
  <c r="G106" i="116"/>
  <c r="I105" i="116"/>
  <c r="H105" i="116"/>
  <c r="G105" i="116"/>
  <c r="I104" i="116"/>
  <c r="H104" i="116"/>
  <c r="G104" i="116"/>
  <c r="I103" i="116"/>
  <c r="H103" i="116"/>
  <c r="G103" i="116"/>
  <c r="I102" i="116"/>
  <c r="H102" i="116"/>
  <c r="G102" i="116"/>
  <c r="I101" i="116"/>
  <c r="H101" i="116"/>
  <c r="G101" i="116"/>
  <c r="I100" i="116"/>
  <c r="H100" i="116"/>
  <c r="G100" i="116"/>
  <c r="D76" i="116"/>
  <c r="H69" i="116"/>
  <c r="D69" i="116"/>
  <c r="H68" i="116"/>
  <c r="D68" i="116"/>
  <c r="H67" i="116"/>
  <c r="D67" i="116"/>
  <c r="H66" i="116"/>
  <c r="D66" i="116"/>
  <c r="H59" i="116"/>
  <c r="D59" i="116"/>
  <c r="H58" i="116"/>
  <c r="D58" i="116"/>
  <c r="H57" i="116"/>
  <c r="D57" i="116"/>
  <c r="H56" i="116"/>
  <c r="D56" i="116"/>
  <c r="H49" i="116"/>
  <c r="D49" i="116"/>
  <c r="H48" i="116"/>
  <c r="D48" i="116"/>
  <c r="H47" i="116"/>
  <c r="D47" i="116"/>
  <c r="H46" i="116"/>
  <c r="D46" i="116"/>
  <c r="H38" i="116"/>
  <c r="H39" i="116" s="1"/>
  <c r="D38" i="116"/>
  <c r="D39" i="116" s="1"/>
  <c r="H32" i="116"/>
  <c r="D32" i="116"/>
  <c r="L26" i="116"/>
  <c r="D13" i="116"/>
  <c r="D12" i="116"/>
  <c r="D11" i="116"/>
  <c r="E1" i="116"/>
  <c r="J29" i="34"/>
  <c r="J30" i="34"/>
  <c r="J31" i="34"/>
  <c r="J32" i="34"/>
  <c r="J33" i="34"/>
  <c r="J72" i="34"/>
  <c r="J73" i="34"/>
  <c r="C134" i="34"/>
  <c r="L169" i="2"/>
  <c r="L170" i="2" s="1"/>
  <c r="L171" i="2" s="1"/>
  <c r="D33" i="117" l="1"/>
  <c r="D70" i="117" s="1"/>
  <c r="N126" i="117" s="1"/>
  <c r="H33" i="117"/>
  <c r="H70" i="117" s="1"/>
  <c r="N134" i="117" s="1"/>
  <c r="D33" i="116"/>
  <c r="D70" i="116" s="1"/>
  <c r="N126" i="116" s="1"/>
  <c r="H33" i="116"/>
  <c r="H70" i="116" s="1"/>
  <c r="N134" i="116" s="1"/>
  <c r="K60" i="136"/>
  <c r="L60" i="136" s="1"/>
  <c r="K61" i="136" s="1"/>
  <c r="L61" i="136" s="1"/>
  <c r="K62" i="136" s="1"/>
  <c r="L62" i="136" s="1"/>
  <c r="K63" i="136" s="1"/>
  <c r="L63" i="136" s="1"/>
  <c r="K40" i="136"/>
  <c r="L40" i="136" s="1"/>
  <c r="K41" i="136" s="1"/>
  <c r="G109" i="119"/>
  <c r="G109" i="117"/>
  <c r="C122" i="117" s="1"/>
  <c r="D72" i="117" s="1"/>
  <c r="H109" i="120"/>
  <c r="H74" i="120" s="1"/>
  <c r="C183" i="120" s="1"/>
  <c r="C184" i="120" s="1"/>
  <c r="I109" i="117"/>
  <c r="F168" i="117" s="1"/>
  <c r="F169" i="117" s="1"/>
  <c r="F170" i="117" s="1"/>
  <c r="G109" i="118"/>
  <c r="D70" i="120"/>
  <c r="N126" i="120" s="1"/>
  <c r="G109" i="123"/>
  <c r="H131" i="128"/>
  <c r="D44" i="132"/>
  <c r="K60" i="131"/>
  <c r="L60" i="131" s="1"/>
  <c r="K61" i="131" s="1"/>
  <c r="D54" i="128"/>
  <c r="I109" i="122"/>
  <c r="H109" i="118"/>
  <c r="H74" i="118" s="1"/>
  <c r="C183" i="118" s="1"/>
  <c r="C184" i="118" s="1"/>
  <c r="C188" i="118" s="1"/>
  <c r="H70" i="120"/>
  <c r="N134" i="120" s="1"/>
  <c r="G109" i="121"/>
  <c r="H109" i="123"/>
  <c r="H74" i="123" s="1"/>
  <c r="C183" i="123" s="1"/>
  <c r="C184" i="123" s="1"/>
  <c r="G132" i="131"/>
  <c r="D64" i="129"/>
  <c r="D64" i="125"/>
  <c r="I109" i="121"/>
  <c r="H109" i="124"/>
  <c r="H74" i="124" s="1"/>
  <c r="C183" i="124" s="1"/>
  <c r="C184" i="124" s="1"/>
  <c r="H109" i="119"/>
  <c r="H74" i="119" s="1"/>
  <c r="C183" i="119" s="1"/>
  <c r="D70" i="121"/>
  <c r="G109" i="122"/>
  <c r="I109" i="124"/>
  <c r="G34" i="3"/>
  <c r="L49" i="135"/>
  <c r="D54" i="135" s="1"/>
  <c r="D44" i="130"/>
  <c r="G109" i="116"/>
  <c r="C122" i="116" s="1"/>
  <c r="H109" i="116"/>
  <c r="H74" i="116" s="1"/>
  <c r="C183" i="116" s="1"/>
  <c r="I109" i="119"/>
  <c r="G109" i="120"/>
  <c r="H109" i="122"/>
  <c r="H74" i="122" s="1"/>
  <c r="C183" i="122" s="1"/>
  <c r="C184" i="122" s="1"/>
  <c r="D70" i="124"/>
  <c r="L131" i="132"/>
  <c r="D64" i="136"/>
  <c r="D44" i="129"/>
  <c r="C170" i="124"/>
  <c r="I109" i="116"/>
  <c r="F168" i="116" s="1"/>
  <c r="H109" i="117"/>
  <c r="H74" i="117" s="1"/>
  <c r="C183" i="117" s="1"/>
  <c r="C184" i="117" s="1"/>
  <c r="I109" i="120"/>
  <c r="F169" i="120" s="1"/>
  <c r="D70" i="122"/>
  <c r="L131" i="128"/>
  <c r="D44" i="135"/>
  <c r="D74" i="129"/>
  <c r="D64" i="130"/>
  <c r="D70" i="119"/>
  <c r="N126" i="119" s="1"/>
  <c r="H70" i="119"/>
  <c r="N134" i="119" s="1"/>
  <c r="D70" i="123"/>
  <c r="N126" i="123" s="1"/>
  <c r="H70" i="118"/>
  <c r="N134" i="118" s="1"/>
  <c r="H70" i="122"/>
  <c r="N134" i="122" s="1"/>
  <c r="H70" i="123"/>
  <c r="N134" i="123" s="1"/>
  <c r="D74" i="128"/>
  <c r="L70" i="128"/>
  <c r="K71" i="128" s="1"/>
  <c r="L39" i="128"/>
  <c r="K40" i="128" s="1"/>
  <c r="L60" i="128"/>
  <c r="K61" i="128" s="1"/>
  <c r="L61" i="128" s="1"/>
  <c r="K62" i="128" s="1"/>
  <c r="L61" i="125"/>
  <c r="K62" i="125" s="1"/>
  <c r="D44" i="125"/>
  <c r="L49" i="125"/>
  <c r="K50" i="125" s="1"/>
  <c r="L42" i="125"/>
  <c r="K43" i="125"/>
  <c r="L43" i="125" s="1"/>
  <c r="K70" i="125"/>
  <c r="L61" i="130"/>
  <c r="K62" i="130" s="1"/>
  <c r="K43" i="130"/>
  <c r="L43" i="130" s="1"/>
  <c r="L42" i="130"/>
  <c r="L49" i="130"/>
  <c r="K50" i="130" s="1"/>
  <c r="D74" i="130"/>
  <c r="L61" i="131"/>
  <c r="K62" i="131" s="1"/>
  <c r="K41" i="131"/>
  <c r="L41" i="131" s="1"/>
  <c r="K42" i="131" s="1"/>
  <c r="L40" i="131"/>
  <c r="L49" i="131"/>
  <c r="D54" i="131" s="1"/>
  <c r="K50" i="131"/>
  <c r="L70" i="131"/>
  <c r="K71" i="131" s="1"/>
  <c r="L71" i="131" s="1"/>
  <c r="K72" i="131" s="1"/>
  <c r="L72" i="131" s="1"/>
  <c r="K73" i="131" s="1"/>
  <c r="L73" i="131" s="1"/>
  <c r="L60" i="129"/>
  <c r="K61" i="129" s="1"/>
  <c r="L49" i="129"/>
  <c r="K50" i="129" s="1"/>
  <c r="L50" i="129" s="1"/>
  <c r="K51" i="129" s="1"/>
  <c r="L51" i="129" s="1"/>
  <c r="K52" i="129" s="1"/>
  <c r="L52" i="129" s="1"/>
  <c r="K53" i="129" s="1"/>
  <c r="L53" i="129" s="1"/>
  <c r="L40" i="129"/>
  <c r="K41" i="129" s="1"/>
  <c r="L41" i="129" s="1"/>
  <c r="K42" i="129" s="1"/>
  <c r="L70" i="129"/>
  <c r="K71" i="129" s="1"/>
  <c r="L71" i="129" s="1"/>
  <c r="K72" i="129" s="1"/>
  <c r="L72" i="129" s="1"/>
  <c r="K73" i="129" s="1"/>
  <c r="L73" i="129" s="1"/>
  <c r="L60" i="134"/>
  <c r="K61" i="134" s="1"/>
  <c r="L69" i="134"/>
  <c r="K70" i="134" s="1"/>
  <c r="L49" i="134"/>
  <c r="K50" i="134" s="1"/>
  <c r="L39" i="134"/>
  <c r="K40" i="134" s="1"/>
  <c r="L40" i="134" s="1"/>
  <c r="K41" i="134" s="1"/>
  <c r="L41" i="134" s="1"/>
  <c r="K42" i="134" s="1"/>
  <c r="L49" i="132"/>
  <c r="D54" i="132" s="1"/>
  <c r="L59" i="132"/>
  <c r="D64" i="132" s="1"/>
  <c r="L69" i="132"/>
  <c r="D74" i="132" s="1"/>
  <c r="L61" i="135"/>
  <c r="K62" i="135" s="1"/>
  <c r="D64" i="135"/>
  <c r="L69" i="135"/>
  <c r="D74" i="135" s="1"/>
  <c r="L40" i="135"/>
  <c r="K41" i="135" s="1"/>
  <c r="L41" i="135" s="1"/>
  <c r="K42" i="135" s="1"/>
  <c r="L41" i="136"/>
  <c r="K42" i="136" s="1"/>
  <c r="L42" i="136" s="1"/>
  <c r="K43" i="136" s="1"/>
  <c r="L43" i="136" s="1"/>
  <c r="D74" i="136"/>
  <c r="L49" i="136"/>
  <c r="K50" i="136" s="1"/>
  <c r="L50" i="136" s="1"/>
  <c r="K51" i="136" s="1"/>
  <c r="L70" i="136"/>
  <c r="K71" i="136" s="1"/>
  <c r="L71" i="136" s="1"/>
  <c r="K72" i="136" s="1"/>
  <c r="G133" i="135"/>
  <c r="J133" i="135" s="1"/>
  <c r="G134" i="135"/>
  <c r="H134" i="135" s="1"/>
  <c r="E114" i="132"/>
  <c r="K29" i="132" s="1"/>
  <c r="E114" i="136"/>
  <c r="K29" i="136" s="1"/>
  <c r="E114" i="130"/>
  <c r="K29" i="130" s="1"/>
  <c r="E114" i="134"/>
  <c r="K29" i="134" s="1"/>
  <c r="G133" i="136"/>
  <c r="I134" i="136"/>
  <c r="H133" i="135"/>
  <c r="I136" i="135"/>
  <c r="G135" i="135"/>
  <c r="E114" i="135"/>
  <c r="K29" i="135" s="1"/>
  <c r="I135" i="134"/>
  <c r="G134" i="134"/>
  <c r="J133" i="134"/>
  <c r="L133" i="134"/>
  <c r="H133" i="134"/>
  <c r="L132" i="132"/>
  <c r="H132" i="132"/>
  <c r="J132" i="132"/>
  <c r="J133" i="132"/>
  <c r="L133" i="132"/>
  <c r="H133" i="132"/>
  <c r="I135" i="132"/>
  <c r="G134" i="132"/>
  <c r="G134" i="131"/>
  <c r="I135" i="131"/>
  <c r="J133" i="131"/>
  <c r="L133" i="131"/>
  <c r="H133" i="131"/>
  <c r="E114" i="131"/>
  <c r="K29" i="131" s="1"/>
  <c r="J132" i="131"/>
  <c r="L132" i="131"/>
  <c r="H132" i="131"/>
  <c r="J133" i="130"/>
  <c r="L133" i="130"/>
  <c r="H133" i="130"/>
  <c r="J132" i="130"/>
  <c r="L132" i="130"/>
  <c r="H132" i="130"/>
  <c r="G134" i="130"/>
  <c r="I135" i="130"/>
  <c r="E114" i="129"/>
  <c r="K29" i="129" s="1"/>
  <c r="I133" i="129"/>
  <c r="G132" i="129"/>
  <c r="E114" i="128"/>
  <c r="K29" i="128" s="1"/>
  <c r="G133" i="128"/>
  <c r="I134" i="128"/>
  <c r="J132" i="128"/>
  <c r="L132" i="128"/>
  <c r="H132" i="128"/>
  <c r="L132" i="125"/>
  <c r="H132" i="125"/>
  <c r="J132" i="125"/>
  <c r="E114" i="125"/>
  <c r="K29" i="125" s="1"/>
  <c r="L133" i="125"/>
  <c r="H133" i="125"/>
  <c r="J133" i="125"/>
  <c r="I135" i="125"/>
  <c r="G134" i="125"/>
  <c r="N134" i="124"/>
  <c r="C122" i="124"/>
  <c r="D72" i="124" s="1"/>
  <c r="D74" i="124"/>
  <c r="L12" i="3" s="1"/>
  <c r="D79" i="124"/>
  <c r="F168" i="124"/>
  <c r="F169" i="124"/>
  <c r="F170" i="124" s="1"/>
  <c r="G171" i="124" s="1"/>
  <c r="K175" i="124" s="1"/>
  <c r="D80" i="124" s="1"/>
  <c r="N126" i="124"/>
  <c r="D77" i="124"/>
  <c r="C187" i="124"/>
  <c r="C188" i="124" s="1"/>
  <c r="F168" i="123"/>
  <c r="F169" i="123"/>
  <c r="F170" i="123" s="1"/>
  <c r="C170" i="123"/>
  <c r="C122" i="123"/>
  <c r="D72" i="123" s="1"/>
  <c r="D74" i="123"/>
  <c r="K12" i="3" s="1"/>
  <c r="C187" i="123"/>
  <c r="C188" i="123" s="1"/>
  <c r="C122" i="122"/>
  <c r="D72" i="122" s="1"/>
  <c r="D74" i="122"/>
  <c r="J12" i="3" s="1"/>
  <c r="D79" i="122"/>
  <c r="C124" i="122"/>
  <c r="F168" i="122"/>
  <c r="F169" i="122"/>
  <c r="F170" i="122" s="1"/>
  <c r="G171" i="122" s="1"/>
  <c r="K175" i="122" s="1"/>
  <c r="D80" i="122" s="1"/>
  <c r="N126" i="122"/>
  <c r="C123" i="122"/>
  <c r="C187" i="122"/>
  <c r="C188" i="122" s="1"/>
  <c r="C125" i="121"/>
  <c r="N126" i="121"/>
  <c r="D77" i="121"/>
  <c r="D79" i="121"/>
  <c r="N134" i="121"/>
  <c r="C122" i="121"/>
  <c r="D72" i="121" s="1"/>
  <c r="D74" i="121"/>
  <c r="I12" i="3" s="1"/>
  <c r="C124" i="121"/>
  <c r="F168" i="121"/>
  <c r="F169" i="121"/>
  <c r="F170" i="121" s="1"/>
  <c r="G171" i="121" s="1"/>
  <c r="K175" i="121" s="1"/>
  <c r="D80" i="121" s="1"/>
  <c r="C187" i="121"/>
  <c r="C188" i="121" s="1"/>
  <c r="C122" i="120"/>
  <c r="D72" i="120" s="1"/>
  <c r="D74" i="120"/>
  <c r="H12" i="3" s="1"/>
  <c r="D79" i="120"/>
  <c r="F168" i="120"/>
  <c r="D77" i="120"/>
  <c r="C187" i="120"/>
  <c r="F168" i="119"/>
  <c r="F169" i="119"/>
  <c r="F170" i="119" s="1"/>
  <c r="C170" i="119"/>
  <c r="C122" i="119"/>
  <c r="D72" i="119" s="1"/>
  <c r="D74" i="119"/>
  <c r="G12" i="3" s="1"/>
  <c r="C184" i="119"/>
  <c r="C187" i="119"/>
  <c r="N126" i="118"/>
  <c r="C170" i="118"/>
  <c r="C122" i="118"/>
  <c r="D72" i="118" s="1"/>
  <c r="D74" i="118"/>
  <c r="F12" i="3" s="1"/>
  <c r="F168" i="118"/>
  <c r="F169" i="118"/>
  <c r="F170" i="118" s="1"/>
  <c r="C123" i="118"/>
  <c r="C187" i="118"/>
  <c r="C170" i="117"/>
  <c r="C187" i="117"/>
  <c r="D74" i="116"/>
  <c r="D12" i="3" s="1"/>
  <c r="C170" i="116"/>
  <c r="C184" i="116"/>
  <c r="C187" i="116"/>
  <c r="D12" i="34"/>
  <c r="E12" i="34"/>
  <c r="F12" i="34"/>
  <c r="G12" i="34"/>
  <c r="H12" i="34"/>
  <c r="I12" i="34"/>
  <c r="J12" i="34"/>
  <c r="K12" i="34"/>
  <c r="L12" i="34"/>
  <c r="M12" i="34"/>
  <c r="D54" i="136" l="1"/>
  <c r="C188" i="117"/>
  <c r="D77" i="117" s="1"/>
  <c r="D77" i="116"/>
  <c r="C130" i="116" s="1"/>
  <c r="F169" i="116"/>
  <c r="F170" i="116" s="1"/>
  <c r="D74" i="117"/>
  <c r="E12" i="3" s="1"/>
  <c r="D72" i="116"/>
  <c r="C125" i="116"/>
  <c r="C123" i="116"/>
  <c r="F170" i="120"/>
  <c r="G171" i="120" s="1"/>
  <c r="K175" i="120" s="1"/>
  <c r="D80" i="120" s="1"/>
  <c r="C171" i="120"/>
  <c r="C171" i="121"/>
  <c r="C171" i="122"/>
  <c r="L134" i="135"/>
  <c r="K50" i="132"/>
  <c r="L50" i="132" s="1"/>
  <c r="K51" i="132" s="1"/>
  <c r="K52" i="132" s="1"/>
  <c r="L52" i="132" s="1"/>
  <c r="K53" i="132" s="1"/>
  <c r="L53" i="132" s="1"/>
  <c r="D77" i="123"/>
  <c r="D54" i="125"/>
  <c r="C123" i="121"/>
  <c r="D77" i="122"/>
  <c r="C171" i="124"/>
  <c r="C130" i="121"/>
  <c r="I19" i="3"/>
  <c r="C130" i="124"/>
  <c r="H72" i="124" s="1"/>
  <c r="H73" i="124" s="1"/>
  <c r="L131" i="124" s="1"/>
  <c r="L19" i="3"/>
  <c r="D77" i="118"/>
  <c r="C188" i="120"/>
  <c r="C125" i="122"/>
  <c r="C171" i="123"/>
  <c r="K70" i="132"/>
  <c r="L70" i="132" s="1"/>
  <c r="K71" i="132" s="1"/>
  <c r="K72" i="132" s="1"/>
  <c r="D77" i="119"/>
  <c r="C130" i="120"/>
  <c r="H72" i="120" s="1"/>
  <c r="H87" i="120" s="1"/>
  <c r="H88" i="120" s="1"/>
  <c r="D84" i="129" s="1"/>
  <c r="H19" i="3"/>
  <c r="C188" i="119"/>
  <c r="K60" i="132"/>
  <c r="L60" i="132" s="1"/>
  <c r="K61" i="132" s="1"/>
  <c r="L61" i="132" s="1"/>
  <c r="K62" i="132" s="1"/>
  <c r="L62" i="132" s="1"/>
  <c r="K63" i="132" s="1"/>
  <c r="L63" i="132" s="1"/>
  <c r="D44" i="128"/>
  <c r="K50" i="135"/>
  <c r="L50" i="135" s="1"/>
  <c r="K51" i="135" s="1"/>
  <c r="L51" i="135" s="1"/>
  <c r="K52" i="135" s="1"/>
  <c r="L52" i="135" s="1"/>
  <c r="K53" i="135" s="1"/>
  <c r="L53" i="135" s="1"/>
  <c r="J134" i="135"/>
  <c r="L62" i="128"/>
  <c r="K63" i="128" s="1"/>
  <c r="L63" i="128" s="1"/>
  <c r="L40" i="128"/>
  <c r="K41" i="128" s="1"/>
  <c r="L41" i="128" s="1"/>
  <c r="K42" i="128" s="1"/>
  <c r="L42" i="128" s="1"/>
  <c r="K43" i="128" s="1"/>
  <c r="L43" i="128" s="1"/>
  <c r="L71" i="128"/>
  <c r="K72" i="128"/>
  <c r="L29" i="128"/>
  <c r="K30" i="128" s="1"/>
  <c r="L62" i="125"/>
  <c r="K63" i="125" s="1"/>
  <c r="L63" i="125" s="1"/>
  <c r="L70" i="125"/>
  <c r="K71" i="125" s="1"/>
  <c r="L71" i="125" s="1"/>
  <c r="K72" i="125" s="1"/>
  <c r="L72" i="125" s="1"/>
  <c r="K73" i="125" s="1"/>
  <c r="L73" i="125" s="1"/>
  <c r="L50" i="125"/>
  <c r="K51" i="125" s="1"/>
  <c r="L51" i="125" s="1"/>
  <c r="K52" i="125" s="1"/>
  <c r="L52" i="125" s="1"/>
  <c r="K53" i="125" s="1"/>
  <c r="L53" i="125" s="1"/>
  <c r="L29" i="125"/>
  <c r="D34" i="125" s="1"/>
  <c r="L62" i="130"/>
  <c r="K63" i="130" s="1"/>
  <c r="L63" i="130" s="1"/>
  <c r="L29" i="130"/>
  <c r="K30" i="130" s="1"/>
  <c r="L30" i="130" s="1"/>
  <c r="K31" i="130" s="1"/>
  <c r="D54" i="130"/>
  <c r="L50" i="130"/>
  <c r="K51" i="130" s="1"/>
  <c r="L51" i="130" s="1"/>
  <c r="K52" i="130" s="1"/>
  <c r="L52" i="130" s="1"/>
  <c r="K53" i="130" s="1"/>
  <c r="L53" i="130" s="1"/>
  <c r="L62" i="131"/>
  <c r="K63" i="131" s="1"/>
  <c r="L63" i="131" s="1"/>
  <c r="K43" i="131"/>
  <c r="L43" i="131" s="1"/>
  <c r="L42" i="131"/>
  <c r="L50" i="131"/>
  <c r="K51" i="131" s="1"/>
  <c r="L51" i="131" s="1"/>
  <c r="K52" i="131" s="1"/>
  <c r="L52" i="131" s="1"/>
  <c r="K53" i="131" s="1"/>
  <c r="L53" i="131" s="1"/>
  <c r="L29" i="131"/>
  <c r="K30" i="131" s="1"/>
  <c r="L30" i="131" s="1"/>
  <c r="K31" i="131" s="1"/>
  <c r="L31" i="131" s="1"/>
  <c r="K32" i="131" s="1"/>
  <c r="L32" i="131" s="1"/>
  <c r="K33" i="131" s="1"/>
  <c r="L33" i="131" s="1"/>
  <c r="L42" i="129"/>
  <c r="K43" i="129" s="1"/>
  <c r="L43" i="129" s="1"/>
  <c r="L61" i="129"/>
  <c r="K62" i="129" s="1"/>
  <c r="L62" i="129" s="1"/>
  <c r="K63" i="129" s="1"/>
  <c r="L63" i="129" s="1"/>
  <c r="D54" i="129"/>
  <c r="L29" i="129"/>
  <c r="D34" i="129" s="1"/>
  <c r="L61" i="134"/>
  <c r="K62" i="134" s="1"/>
  <c r="D44" i="134"/>
  <c r="D74" i="134"/>
  <c r="L42" i="134"/>
  <c r="K43" i="134" s="1"/>
  <c r="L43" i="134" s="1"/>
  <c r="L70" i="134"/>
  <c r="K71" i="134" s="1"/>
  <c r="L71" i="134" s="1"/>
  <c r="K72" i="134" s="1"/>
  <c r="L72" i="134" s="1"/>
  <c r="K73" i="134" s="1"/>
  <c r="L73" i="134" s="1"/>
  <c r="D54" i="134"/>
  <c r="L29" i="134"/>
  <c r="K30" i="134" s="1"/>
  <c r="L30" i="134" s="1"/>
  <c r="K31" i="134" s="1"/>
  <c r="L31" i="134" s="1"/>
  <c r="K32" i="134" s="1"/>
  <c r="D34" i="134"/>
  <c r="L50" i="134"/>
  <c r="K51" i="134" s="1"/>
  <c r="L51" i="134" s="1"/>
  <c r="K52" i="134" s="1"/>
  <c r="L52" i="134" s="1"/>
  <c r="K53" i="134" s="1"/>
  <c r="L53" i="134" s="1"/>
  <c r="L29" i="132"/>
  <c r="D34" i="132" s="1"/>
  <c r="L71" i="132"/>
  <c r="L51" i="132"/>
  <c r="L62" i="135"/>
  <c r="K63" i="135" s="1"/>
  <c r="L63" i="135" s="1"/>
  <c r="L29" i="135"/>
  <c r="D34" i="135" s="1"/>
  <c r="L133" i="135"/>
  <c r="K70" i="135"/>
  <c r="L70" i="135" s="1"/>
  <c r="K71" i="135" s="1"/>
  <c r="L71" i="135" s="1"/>
  <c r="K72" i="135" s="1"/>
  <c r="L72" i="135" s="1"/>
  <c r="K73" i="135" s="1"/>
  <c r="L73" i="135" s="1"/>
  <c r="L42" i="135"/>
  <c r="K43" i="135" s="1"/>
  <c r="L43" i="135" s="1"/>
  <c r="L72" i="136"/>
  <c r="K73" i="136" s="1"/>
  <c r="L73" i="136" s="1"/>
  <c r="L51" i="136"/>
  <c r="K52" i="136" s="1"/>
  <c r="L29" i="136"/>
  <c r="K30" i="136" s="1"/>
  <c r="I135" i="136"/>
  <c r="G134" i="136"/>
  <c r="L133" i="136"/>
  <c r="H133" i="136"/>
  <c r="J133" i="136"/>
  <c r="J135" i="135"/>
  <c r="L135" i="135"/>
  <c r="H135" i="135"/>
  <c r="I137" i="135"/>
  <c r="G136" i="135"/>
  <c r="J134" i="134"/>
  <c r="L134" i="134"/>
  <c r="H134" i="134"/>
  <c r="I136" i="134"/>
  <c r="G135" i="134"/>
  <c r="G135" i="132"/>
  <c r="I136" i="132"/>
  <c r="J134" i="132"/>
  <c r="L134" i="132"/>
  <c r="H134" i="132"/>
  <c r="I136" i="131"/>
  <c r="G135" i="131"/>
  <c r="J134" i="131"/>
  <c r="L134" i="131"/>
  <c r="H134" i="131"/>
  <c r="I136" i="130"/>
  <c r="G135" i="130"/>
  <c r="J134" i="130"/>
  <c r="L134" i="130"/>
  <c r="H134" i="130"/>
  <c r="L132" i="129"/>
  <c r="H132" i="129"/>
  <c r="J132" i="129"/>
  <c r="I134" i="129"/>
  <c r="G133" i="129"/>
  <c r="I135" i="128"/>
  <c r="G134" i="128"/>
  <c r="L133" i="128"/>
  <c r="H133" i="128"/>
  <c r="J133" i="128"/>
  <c r="L134" i="125"/>
  <c r="H134" i="125"/>
  <c r="J134" i="125"/>
  <c r="I136" i="125"/>
  <c r="G135" i="125"/>
  <c r="C123" i="124"/>
  <c r="C125" i="124"/>
  <c r="C124" i="124"/>
  <c r="H82" i="124"/>
  <c r="D91" i="124"/>
  <c r="D92" i="124" s="1"/>
  <c r="L10" i="114" s="1"/>
  <c r="D82" i="124"/>
  <c r="D73" i="124"/>
  <c r="L123" i="124" s="1"/>
  <c r="D87" i="124"/>
  <c r="C125" i="123"/>
  <c r="D91" i="123"/>
  <c r="D92" i="123" s="1"/>
  <c r="K10" i="114" s="1"/>
  <c r="D82" i="123"/>
  <c r="D73" i="123"/>
  <c r="L123" i="123" s="1"/>
  <c r="D87" i="123"/>
  <c r="C123" i="123"/>
  <c r="D79" i="123"/>
  <c r="G171" i="123"/>
  <c r="K175" i="123" s="1"/>
  <c r="D80" i="123" s="1"/>
  <c r="C124" i="123"/>
  <c r="D91" i="122"/>
  <c r="D92" i="122" s="1"/>
  <c r="J10" i="114" s="1"/>
  <c r="D82" i="122"/>
  <c r="D73" i="122"/>
  <c r="L123" i="122" s="1"/>
  <c r="D87" i="122"/>
  <c r="D91" i="121"/>
  <c r="D92" i="121" s="1"/>
  <c r="I10" i="114" s="1"/>
  <c r="D82" i="121"/>
  <c r="D73" i="121"/>
  <c r="L123" i="121" s="1"/>
  <c r="D87" i="121"/>
  <c r="H73" i="120"/>
  <c r="L131" i="120" s="1"/>
  <c r="C133" i="120"/>
  <c r="C123" i="120"/>
  <c r="C125" i="120"/>
  <c r="C124" i="120"/>
  <c r="D91" i="120"/>
  <c r="D92" i="120" s="1"/>
  <c r="H10" i="114" s="1"/>
  <c r="D82" i="120"/>
  <c r="D73" i="120"/>
  <c r="L123" i="120" s="1"/>
  <c r="D87" i="120"/>
  <c r="D91" i="119"/>
  <c r="D92" i="119" s="1"/>
  <c r="G10" i="114" s="1"/>
  <c r="D82" i="119"/>
  <c r="D73" i="119"/>
  <c r="L123" i="119" s="1"/>
  <c r="D87" i="119"/>
  <c r="C125" i="119"/>
  <c r="C171" i="119"/>
  <c r="C123" i="119"/>
  <c r="D79" i="119"/>
  <c r="G171" i="119"/>
  <c r="K175" i="119" s="1"/>
  <c r="D80" i="119" s="1"/>
  <c r="C124" i="119"/>
  <c r="D91" i="118"/>
  <c r="D92" i="118" s="1"/>
  <c r="F10" i="114" s="1"/>
  <c r="D82" i="118"/>
  <c r="D73" i="118"/>
  <c r="L123" i="118" s="1"/>
  <c r="D87" i="118"/>
  <c r="C171" i="118"/>
  <c r="D79" i="118"/>
  <c r="G171" i="118"/>
  <c r="K175" i="118" s="1"/>
  <c r="D80" i="118" s="1"/>
  <c r="C125" i="118"/>
  <c r="C124" i="118"/>
  <c r="C171" i="117"/>
  <c r="D79" i="117"/>
  <c r="G171" i="117"/>
  <c r="K175" i="117" s="1"/>
  <c r="D80" i="117" s="1"/>
  <c r="C125" i="117"/>
  <c r="D91" i="117" s="1"/>
  <c r="D92" i="117" s="1"/>
  <c r="E10" i="114" s="1"/>
  <c r="C123" i="117"/>
  <c r="D82" i="117" s="1"/>
  <c r="C124" i="117"/>
  <c r="D87" i="117" s="1"/>
  <c r="D73" i="117"/>
  <c r="L123" i="117" s="1"/>
  <c r="C188" i="116"/>
  <c r="C124" i="116"/>
  <c r="D79" i="116"/>
  <c r="G171" i="116"/>
  <c r="K175" i="116" s="1"/>
  <c r="D80" i="116" s="1"/>
  <c r="D91" i="116"/>
  <c r="D92" i="116" s="1"/>
  <c r="D10" i="114" s="1"/>
  <c r="D82" i="116"/>
  <c r="D73" i="116"/>
  <c r="L123" i="116" s="1"/>
  <c r="D87" i="116"/>
  <c r="D154" i="34"/>
  <c r="D155" i="34" s="1"/>
  <c r="E155" i="34" s="1"/>
  <c r="D158" i="34"/>
  <c r="D159" i="34" s="1"/>
  <c r="E159" i="34" s="1"/>
  <c r="D166" i="34"/>
  <c r="D167" i="34" s="1"/>
  <c r="E167" i="34" s="1"/>
  <c r="D150" i="34"/>
  <c r="D151" i="34" s="1"/>
  <c r="E151" i="34" s="1"/>
  <c r="D162" i="34"/>
  <c r="D163" i="34" s="1"/>
  <c r="E163" i="34" s="1"/>
  <c r="H110" i="34"/>
  <c r="F113" i="34"/>
  <c r="F111" i="34"/>
  <c r="E105" i="34"/>
  <c r="C10" i="34"/>
  <c r="F105" i="34"/>
  <c r="G105" i="34"/>
  <c r="H105" i="34"/>
  <c r="I105" i="34"/>
  <c r="F106" i="34"/>
  <c r="G106" i="34"/>
  <c r="H106" i="34"/>
  <c r="I106" i="34"/>
  <c r="F107" i="34"/>
  <c r="G107" i="34"/>
  <c r="H107" i="34"/>
  <c r="I107" i="34"/>
  <c r="F108" i="34"/>
  <c r="G108" i="34"/>
  <c r="H108" i="34"/>
  <c r="I108" i="34"/>
  <c r="F109" i="34"/>
  <c r="G109" i="34"/>
  <c r="H109" i="34"/>
  <c r="I109" i="34"/>
  <c r="F110" i="34"/>
  <c r="G110" i="34"/>
  <c r="I110" i="34"/>
  <c r="G111" i="34"/>
  <c r="H111" i="34"/>
  <c r="I111" i="34"/>
  <c r="F112" i="34"/>
  <c r="G112" i="34"/>
  <c r="H112" i="34"/>
  <c r="I112" i="34"/>
  <c r="G113" i="34"/>
  <c r="H113" i="34"/>
  <c r="I113" i="34"/>
  <c r="C168" i="2"/>
  <c r="C169" i="2" s="1"/>
  <c r="F167" i="2"/>
  <c r="C167" i="2"/>
  <c r="D19" i="3" l="1"/>
  <c r="D34" i="136"/>
  <c r="E19" i="3"/>
  <c r="C130" i="117"/>
  <c r="H72" i="117" s="1"/>
  <c r="H73" i="117" s="1"/>
  <c r="L131" i="117" s="1"/>
  <c r="L134" i="117" s="1"/>
  <c r="C171" i="116"/>
  <c r="H72" i="116"/>
  <c r="C132" i="116"/>
  <c r="C133" i="116"/>
  <c r="C131" i="116"/>
  <c r="C131" i="120"/>
  <c r="H82" i="120"/>
  <c r="H91" i="124"/>
  <c r="H92" i="124" s="1"/>
  <c r="D90" i="128" s="1"/>
  <c r="C130" i="119"/>
  <c r="G19" i="3"/>
  <c r="C130" i="123"/>
  <c r="K19" i="3"/>
  <c r="C132" i="124"/>
  <c r="H72" i="121"/>
  <c r="C132" i="121"/>
  <c r="C133" i="121"/>
  <c r="C131" i="121"/>
  <c r="H91" i="120"/>
  <c r="H92" i="120" s="1"/>
  <c r="D90" i="129" s="1"/>
  <c r="C130" i="122"/>
  <c r="J19" i="3"/>
  <c r="C132" i="120"/>
  <c r="C131" i="124"/>
  <c r="H87" i="124"/>
  <c r="H88" i="124" s="1"/>
  <c r="D84" i="128" s="1"/>
  <c r="L21" i="22" s="1"/>
  <c r="C133" i="124"/>
  <c r="C130" i="118"/>
  <c r="F19" i="3"/>
  <c r="D88" i="117"/>
  <c r="E11" i="22" s="1"/>
  <c r="E9" i="22"/>
  <c r="E10" i="22" s="1"/>
  <c r="D88" i="119"/>
  <c r="G11" i="22" s="1"/>
  <c r="G9" i="22"/>
  <c r="G10" i="22" s="1"/>
  <c r="D88" i="120"/>
  <c r="H11" i="22" s="1"/>
  <c r="H9" i="22"/>
  <c r="H10" i="22" s="1"/>
  <c r="D88" i="124"/>
  <c r="L11" i="22" s="1"/>
  <c r="L9" i="22"/>
  <c r="L10" i="22" s="1"/>
  <c r="D89" i="128"/>
  <c r="D88" i="116"/>
  <c r="D11" i="22" s="1"/>
  <c r="D9" i="22"/>
  <c r="D10" i="22" s="1"/>
  <c r="D85" i="128"/>
  <c r="H21" i="22"/>
  <c r="D85" i="129"/>
  <c r="D88" i="121"/>
  <c r="I11" i="22" s="1"/>
  <c r="I9" i="22"/>
  <c r="I10" i="22" s="1"/>
  <c r="D88" i="122"/>
  <c r="J11" i="22" s="1"/>
  <c r="J9" i="22"/>
  <c r="J10" i="22" s="1"/>
  <c r="D88" i="118"/>
  <c r="F11" i="22" s="1"/>
  <c r="F9" i="22"/>
  <c r="F10" i="22" s="1"/>
  <c r="D88" i="123"/>
  <c r="K11" i="22" s="1"/>
  <c r="K9" i="22"/>
  <c r="K10" i="22" s="1"/>
  <c r="K30" i="129"/>
  <c r="L30" i="129" s="1"/>
  <c r="K31" i="129" s="1"/>
  <c r="L30" i="128"/>
  <c r="K31" i="128" s="1"/>
  <c r="L31" i="128" s="1"/>
  <c r="K32" i="128" s="1"/>
  <c r="L32" i="128" s="1"/>
  <c r="K33" i="128" s="1"/>
  <c r="L33" i="128" s="1"/>
  <c r="L72" i="128"/>
  <c r="K73" i="128" s="1"/>
  <c r="L73" i="128" s="1"/>
  <c r="D34" i="128"/>
  <c r="K30" i="125"/>
  <c r="L30" i="125" s="1"/>
  <c r="K31" i="125" s="1"/>
  <c r="L31" i="125" s="1"/>
  <c r="K32" i="125" s="1"/>
  <c r="L32" i="125" s="1"/>
  <c r="K33" i="125" s="1"/>
  <c r="L33" i="125" s="1"/>
  <c r="L31" i="130"/>
  <c r="K32" i="130" s="1"/>
  <c r="D34" i="130"/>
  <c r="D34" i="131"/>
  <c r="L32" i="134"/>
  <c r="K33" i="134" s="1"/>
  <c r="L33" i="134" s="1"/>
  <c r="L62" i="134"/>
  <c r="K63" i="134" s="1"/>
  <c r="L63" i="134" s="1"/>
  <c r="K30" i="132"/>
  <c r="L72" i="132"/>
  <c r="K73" i="132" s="1"/>
  <c r="L73" i="132" s="1"/>
  <c r="K30" i="135"/>
  <c r="L30" i="135" s="1"/>
  <c r="K31" i="135" s="1"/>
  <c r="L52" i="136"/>
  <c r="K53" i="136" s="1"/>
  <c r="L53" i="136" s="1"/>
  <c r="L30" i="136"/>
  <c r="K31" i="136" s="1"/>
  <c r="L31" i="136" s="1"/>
  <c r="K32" i="136" s="1"/>
  <c r="L32" i="136" s="1"/>
  <c r="K33" i="136" s="1"/>
  <c r="L33" i="136" s="1"/>
  <c r="L134" i="136"/>
  <c r="H134" i="136"/>
  <c r="J134" i="136"/>
  <c r="I136" i="136"/>
  <c r="G135" i="136"/>
  <c r="L136" i="135"/>
  <c r="H136" i="135"/>
  <c r="J136" i="135"/>
  <c r="I138" i="135"/>
  <c r="G137" i="135"/>
  <c r="I137" i="134"/>
  <c r="G136" i="134"/>
  <c r="J135" i="134"/>
  <c r="L135" i="134"/>
  <c r="H135" i="134"/>
  <c r="J135" i="132"/>
  <c r="L135" i="132"/>
  <c r="H135" i="132"/>
  <c r="I137" i="132"/>
  <c r="G136" i="132"/>
  <c r="L135" i="131"/>
  <c r="H135" i="131"/>
  <c r="J135" i="131"/>
  <c r="I137" i="131"/>
  <c r="G136" i="131"/>
  <c r="L135" i="130"/>
  <c r="H135" i="130"/>
  <c r="J135" i="130"/>
  <c r="I137" i="130"/>
  <c r="G136" i="130"/>
  <c r="L133" i="129"/>
  <c r="H133" i="129"/>
  <c r="J133" i="129"/>
  <c r="I135" i="129"/>
  <c r="G134" i="129"/>
  <c r="L134" i="128"/>
  <c r="H134" i="128"/>
  <c r="J134" i="128"/>
  <c r="I136" i="128"/>
  <c r="G135" i="128"/>
  <c r="J135" i="125"/>
  <c r="L135" i="125"/>
  <c r="H135" i="125"/>
  <c r="I137" i="125"/>
  <c r="G136" i="125"/>
  <c r="D83" i="124"/>
  <c r="L14" i="3"/>
  <c r="H83" i="124"/>
  <c r="L21" i="3"/>
  <c r="D83" i="123"/>
  <c r="K14" i="3"/>
  <c r="D83" i="122"/>
  <c r="J14" i="3"/>
  <c r="D83" i="121"/>
  <c r="I14" i="3"/>
  <c r="D83" i="120"/>
  <c r="H14" i="3"/>
  <c r="H83" i="120"/>
  <c r="D79" i="129" s="1"/>
  <c r="D80" i="129" s="1"/>
  <c r="H21" i="3"/>
  <c r="D83" i="119"/>
  <c r="G14" i="3"/>
  <c r="D83" i="118"/>
  <c r="F14" i="3"/>
  <c r="D83" i="117"/>
  <c r="E14" i="3"/>
  <c r="D83" i="116"/>
  <c r="D14" i="3"/>
  <c r="L132" i="124"/>
  <c r="L134" i="124"/>
  <c r="L133" i="124"/>
  <c r="L125" i="124"/>
  <c r="L124" i="124"/>
  <c r="L126" i="124"/>
  <c r="L125" i="123"/>
  <c r="L124" i="123"/>
  <c r="L126" i="123"/>
  <c r="L125" i="122"/>
  <c r="L124" i="122"/>
  <c r="L126" i="122"/>
  <c r="L125" i="121"/>
  <c r="L124" i="121"/>
  <c r="L126" i="121"/>
  <c r="L132" i="120"/>
  <c r="L134" i="120"/>
  <c r="L133" i="120"/>
  <c r="L125" i="120"/>
  <c r="L124" i="120"/>
  <c r="L126" i="120"/>
  <c r="L125" i="119"/>
  <c r="L124" i="119"/>
  <c r="L126" i="119"/>
  <c r="L125" i="118"/>
  <c r="L124" i="118"/>
  <c r="L126" i="118"/>
  <c r="L125" i="117"/>
  <c r="L124" i="117"/>
  <c r="L126" i="117"/>
  <c r="L125" i="116"/>
  <c r="L124" i="116"/>
  <c r="L126" i="116"/>
  <c r="H114" i="34"/>
  <c r="F114" i="34"/>
  <c r="I114" i="34"/>
  <c r="G114" i="34"/>
  <c r="C170" i="2"/>
  <c r="O80" i="3"/>
  <c r="O73" i="3"/>
  <c r="O74" i="3"/>
  <c r="O75" i="3"/>
  <c r="O76" i="3"/>
  <c r="O77" i="3"/>
  <c r="O78" i="3"/>
  <c r="O79" i="3"/>
  <c r="O72" i="3"/>
  <c r="E113" i="34"/>
  <c r="E112" i="34"/>
  <c r="E111" i="34"/>
  <c r="E110" i="34"/>
  <c r="E109" i="34"/>
  <c r="E108" i="34"/>
  <c r="E107" i="34"/>
  <c r="E106" i="34"/>
  <c r="D89" i="129" l="1"/>
  <c r="C132" i="117"/>
  <c r="H87" i="117" s="1"/>
  <c r="H88" i="117" s="1"/>
  <c r="D84" i="135" s="1"/>
  <c r="D85" i="135" s="1"/>
  <c r="C131" i="117"/>
  <c r="H82" i="117" s="1"/>
  <c r="H83" i="117" s="1"/>
  <c r="C133" i="117"/>
  <c r="H91" i="117" s="1"/>
  <c r="D89" i="135" s="1"/>
  <c r="L133" i="117"/>
  <c r="L132" i="117"/>
  <c r="H72" i="118"/>
  <c r="C132" i="118"/>
  <c r="C131" i="118"/>
  <c r="C133" i="118"/>
  <c r="H72" i="119"/>
  <c r="C131" i="119"/>
  <c r="C132" i="119"/>
  <c r="C133" i="119"/>
  <c r="H91" i="121"/>
  <c r="H82" i="121"/>
  <c r="H73" i="121"/>
  <c r="L131" i="121" s="1"/>
  <c r="H87" i="121"/>
  <c r="H88" i="121" s="1"/>
  <c r="D84" i="131" s="1"/>
  <c r="D84" i="120"/>
  <c r="H23" i="3" s="1"/>
  <c r="H72" i="122"/>
  <c r="C133" i="122"/>
  <c r="C131" i="122"/>
  <c r="C132" i="122"/>
  <c r="H72" i="123"/>
  <c r="C132" i="123"/>
  <c r="C133" i="123"/>
  <c r="C131" i="123"/>
  <c r="H82" i="116"/>
  <c r="H87" i="116"/>
  <c r="H88" i="116" s="1"/>
  <c r="D84" i="136" s="1"/>
  <c r="H91" i="116"/>
  <c r="H73" i="116"/>
  <c r="L131" i="116" s="1"/>
  <c r="D81" i="129"/>
  <c r="H16" i="36" s="1"/>
  <c r="H18" i="36"/>
  <c r="D86" i="128"/>
  <c r="L17" i="22" s="1"/>
  <c r="L19" i="22"/>
  <c r="L22" i="22" s="1"/>
  <c r="N132" i="120"/>
  <c r="N133" i="120" s="1"/>
  <c r="H131" i="120" s="1"/>
  <c r="H135" i="120" s="1"/>
  <c r="H85" i="120" s="1"/>
  <c r="H22" i="3" s="1"/>
  <c r="D86" i="129"/>
  <c r="H17" i="22" s="1"/>
  <c r="H19" i="22"/>
  <c r="H22" i="22" s="1"/>
  <c r="H16" i="114"/>
  <c r="D91" i="129"/>
  <c r="D92" i="129" s="1"/>
  <c r="L16" i="114"/>
  <c r="D91" i="128"/>
  <c r="D92" i="128" s="1"/>
  <c r="N124" i="124"/>
  <c r="N125" i="124" s="1"/>
  <c r="H123" i="124" s="1"/>
  <c r="H128" i="124" s="1"/>
  <c r="D89" i="124" s="1"/>
  <c r="L12" i="22" s="1"/>
  <c r="D84" i="124"/>
  <c r="L23" i="3" s="1"/>
  <c r="D79" i="128"/>
  <c r="D80" i="128" s="1"/>
  <c r="L32" i="130"/>
  <c r="K33" i="130" s="1"/>
  <c r="L33" i="130" s="1"/>
  <c r="L31" i="129"/>
  <c r="K32" i="129" s="1"/>
  <c r="L30" i="132"/>
  <c r="K31" i="132" s="1"/>
  <c r="L31" i="132" s="1"/>
  <c r="K32" i="132" s="1"/>
  <c r="L32" i="132" s="1"/>
  <c r="K33" i="132" s="1"/>
  <c r="L33" i="132" s="1"/>
  <c r="L31" i="135"/>
  <c r="K32" i="135" s="1"/>
  <c r="L135" i="136"/>
  <c r="H135" i="136"/>
  <c r="J135" i="136"/>
  <c r="I137" i="136"/>
  <c r="G136" i="136"/>
  <c r="J137" i="135"/>
  <c r="H137" i="135"/>
  <c r="L137" i="135"/>
  <c r="G138" i="135"/>
  <c r="I139" i="135"/>
  <c r="L136" i="134"/>
  <c r="J136" i="134"/>
  <c r="H136" i="134"/>
  <c r="I138" i="134"/>
  <c r="G137" i="134"/>
  <c r="L136" i="132"/>
  <c r="H136" i="132"/>
  <c r="J136" i="132"/>
  <c r="I138" i="132"/>
  <c r="G137" i="132"/>
  <c r="G137" i="131"/>
  <c r="I138" i="131"/>
  <c r="L136" i="131"/>
  <c r="J136" i="131"/>
  <c r="H136" i="131"/>
  <c r="I138" i="130"/>
  <c r="G137" i="130"/>
  <c r="L136" i="130"/>
  <c r="H136" i="130"/>
  <c r="J136" i="130"/>
  <c r="L134" i="129"/>
  <c r="H134" i="129"/>
  <c r="J134" i="129"/>
  <c r="I136" i="129"/>
  <c r="G135" i="129"/>
  <c r="L135" i="128"/>
  <c r="H135" i="128"/>
  <c r="J135" i="128"/>
  <c r="I137" i="128"/>
  <c r="G136" i="128"/>
  <c r="L136" i="125"/>
  <c r="J136" i="125"/>
  <c r="H136" i="125"/>
  <c r="G137" i="125"/>
  <c r="I138" i="125"/>
  <c r="N124" i="123"/>
  <c r="N125" i="123" s="1"/>
  <c r="H123" i="123" s="1"/>
  <c r="H127" i="123" s="1"/>
  <c r="D85" i="123" s="1"/>
  <c r="K15" i="3" s="1"/>
  <c r="N124" i="121"/>
  <c r="N125" i="121" s="1"/>
  <c r="H123" i="121" s="1"/>
  <c r="H127" i="121" s="1"/>
  <c r="D85" i="121" s="1"/>
  <c r="I15" i="3" s="1"/>
  <c r="N132" i="124"/>
  <c r="N133" i="124" s="1"/>
  <c r="H131" i="124" s="1"/>
  <c r="N124" i="122"/>
  <c r="N125" i="122" s="1"/>
  <c r="H123" i="122" s="1"/>
  <c r="H136" i="120"/>
  <c r="H89" i="120" s="1"/>
  <c r="N124" i="120"/>
  <c r="N125" i="120" s="1"/>
  <c r="H123" i="120" s="1"/>
  <c r="N124" i="119"/>
  <c r="N125" i="119" s="1"/>
  <c r="H123" i="119" s="1"/>
  <c r="N124" i="118"/>
  <c r="N125" i="118" s="1"/>
  <c r="H123" i="118" s="1"/>
  <c r="N124" i="117"/>
  <c r="N125" i="117" s="1"/>
  <c r="H123" i="117" s="1"/>
  <c r="N124" i="116"/>
  <c r="N125" i="116" s="1"/>
  <c r="H123" i="116" s="1"/>
  <c r="E114" i="34"/>
  <c r="K29" i="34" s="1"/>
  <c r="M81" i="3"/>
  <c r="O81" i="3" s="1"/>
  <c r="C19" i="36"/>
  <c r="F22" i="1"/>
  <c r="D69" i="2"/>
  <c r="H127" i="124" l="1"/>
  <c r="D85" i="124" s="1"/>
  <c r="L15" i="3" s="1"/>
  <c r="E21" i="22"/>
  <c r="E19" i="22"/>
  <c r="E22" i="22" s="1"/>
  <c r="H92" i="117"/>
  <c r="D90" i="135" s="1"/>
  <c r="E16" i="114" s="1"/>
  <c r="D79" i="135"/>
  <c r="D80" i="135" s="1"/>
  <c r="E18" i="36" s="1"/>
  <c r="D84" i="117"/>
  <c r="E23" i="3" s="1"/>
  <c r="N132" i="117"/>
  <c r="N133" i="117" s="1"/>
  <c r="H131" i="117" s="1"/>
  <c r="H137" i="117" s="1"/>
  <c r="H93" i="117" s="1"/>
  <c r="E21" i="3"/>
  <c r="H137" i="120"/>
  <c r="H93" i="120" s="1"/>
  <c r="H129" i="124"/>
  <c r="D93" i="124" s="1"/>
  <c r="L9" i="114" s="1"/>
  <c r="H91" i="122"/>
  <c r="H82" i="122"/>
  <c r="H87" i="122"/>
  <c r="H88" i="122" s="1"/>
  <c r="D84" i="130" s="1"/>
  <c r="H73" i="122"/>
  <c r="L131" i="122" s="1"/>
  <c r="H128" i="123"/>
  <c r="D89" i="123" s="1"/>
  <c r="K12" i="22" s="1"/>
  <c r="H87" i="119"/>
  <c r="H88" i="119" s="1"/>
  <c r="D84" i="134" s="1"/>
  <c r="H73" i="119"/>
  <c r="L131" i="119" s="1"/>
  <c r="H91" i="119"/>
  <c r="H82" i="119"/>
  <c r="H129" i="121"/>
  <c r="D93" i="121" s="1"/>
  <c r="I9" i="114" s="1"/>
  <c r="I21" i="22"/>
  <c r="D85" i="131"/>
  <c r="L132" i="116"/>
  <c r="L134" i="116"/>
  <c r="L133" i="116"/>
  <c r="L132" i="121"/>
  <c r="L134" i="121"/>
  <c r="L133" i="121"/>
  <c r="H128" i="121"/>
  <c r="D89" i="121" s="1"/>
  <c r="I12" i="22" s="1"/>
  <c r="D89" i="136"/>
  <c r="H92" i="116"/>
  <c r="D90" i="136" s="1"/>
  <c r="H73" i="123"/>
  <c r="L131" i="123" s="1"/>
  <c r="H91" i="123"/>
  <c r="H82" i="123"/>
  <c r="H87" i="123"/>
  <c r="H88" i="123" s="1"/>
  <c r="D84" i="125" s="1"/>
  <c r="H83" i="121"/>
  <c r="I21" i="3"/>
  <c r="D21" i="22"/>
  <c r="D85" i="136"/>
  <c r="H92" i="121"/>
  <c r="D90" i="131" s="1"/>
  <c r="D89" i="131"/>
  <c r="H82" i="118"/>
  <c r="H87" i="118"/>
  <c r="H88" i="118" s="1"/>
  <c r="D84" i="132" s="1"/>
  <c r="H91" i="118"/>
  <c r="H73" i="118"/>
  <c r="L131" i="118" s="1"/>
  <c r="D21" i="3"/>
  <c r="H83" i="116"/>
  <c r="L18" i="36"/>
  <c r="D81" i="128"/>
  <c r="L16" i="36" s="1"/>
  <c r="L32" i="129"/>
  <c r="K33" i="129" s="1"/>
  <c r="L33" i="129" s="1"/>
  <c r="L32" i="135"/>
  <c r="K33" i="135" s="1"/>
  <c r="L33" i="135" s="1"/>
  <c r="D77" i="136"/>
  <c r="L136" i="136"/>
  <c r="J136" i="136"/>
  <c r="H136" i="136"/>
  <c r="G137" i="136"/>
  <c r="I138" i="136"/>
  <c r="G139" i="135"/>
  <c r="I140" i="135"/>
  <c r="J138" i="135"/>
  <c r="H138" i="135"/>
  <c r="L138" i="135"/>
  <c r="D77" i="134"/>
  <c r="L137" i="134"/>
  <c r="H137" i="134"/>
  <c r="J137" i="134"/>
  <c r="I139" i="134"/>
  <c r="G138" i="134"/>
  <c r="G138" i="132"/>
  <c r="I139" i="132"/>
  <c r="J137" i="132"/>
  <c r="L137" i="132"/>
  <c r="H137" i="132"/>
  <c r="D77" i="132"/>
  <c r="I139" i="131"/>
  <c r="G138" i="131"/>
  <c r="J137" i="131"/>
  <c r="H137" i="131"/>
  <c r="L137" i="131"/>
  <c r="D77" i="130"/>
  <c r="J137" i="130"/>
  <c r="H137" i="130"/>
  <c r="L137" i="130"/>
  <c r="I139" i="130"/>
  <c r="G138" i="130"/>
  <c r="J135" i="129"/>
  <c r="L135" i="129"/>
  <c r="H135" i="129"/>
  <c r="I137" i="129"/>
  <c r="G136" i="129"/>
  <c r="L136" i="128"/>
  <c r="J136" i="128"/>
  <c r="H136" i="128"/>
  <c r="I138" i="128"/>
  <c r="G137" i="128"/>
  <c r="J137" i="125"/>
  <c r="L137" i="125"/>
  <c r="H137" i="125"/>
  <c r="I139" i="125"/>
  <c r="G138" i="125"/>
  <c r="H129" i="123"/>
  <c r="D93" i="123" s="1"/>
  <c r="H135" i="124"/>
  <c r="H85" i="124" s="1"/>
  <c r="L22" i="3" s="1"/>
  <c r="H136" i="124"/>
  <c r="H89" i="124" s="1"/>
  <c r="H137" i="124"/>
  <c r="H93" i="124" s="1"/>
  <c r="H127" i="122"/>
  <c r="D85" i="122" s="1"/>
  <c r="J15" i="3" s="1"/>
  <c r="H128" i="122"/>
  <c r="D89" i="122" s="1"/>
  <c r="J12" i="22" s="1"/>
  <c r="H129" i="122"/>
  <c r="D93" i="122" s="1"/>
  <c r="J9" i="114" s="1"/>
  <c r="H128" i="120"/>
  <c r="D89" i="120" s="1"/>
  <c r="H12" i="22" s="1"/>
  <c r="H129" i="120"/>
  <c r="D93" i="120" s="1"/>
  <c r="H127" i="120"/>
  <c r="D85" i="120" s="1"/>
  <c r="H15" i="3" s="1"/>
  <c r="H128" i="119"/>
  <c r="D89" i="119" s="1"/>
  <c r="G12" i="22" s="1"/>
  <c r="H129" i="119"/>
  <c r="D93" i="119" s="1"/>
  <c r="H127" i="119"/>
  <c r="D85" i="119" s="1"/>
  <c r="G15" i="3" s="1"/>
  <c r="H127" i="118"/>
  <c r="D85" i="118" s="1"/>
  <c r="F15" i="3" s="1"/>
  <c r="H128" i="118"/>
  <c r="D89" i="118" s="1"/>
  <c r="F12" i="22" s="1"/>
  <c r="H129" i="118"/>
  <c r="D93" i="118" s="1"/>
  <c r="F9" i="114" s="1"/>
  <c r="H128" i="117"/>
  <c r="D89" i="117" s="1"/>
  <c r="E12" i="22" s="1"/>
  <c r="H129" i="117"/>
  <c r="D93" i="117" s="1"/>
  <c r="E9" i="114" s="1"/>
  <c r="H127" i="117"/>
  <c r="D85" i="117" s="1"/>
  <c r="E15" i="3" s="1"/>
  <c r="H127" i="116"/>
  <c r="D85" i="116" s="1"/>
  <c r="D15" i="3" s="1"/>
  <c r="H129" i="116"/>
  <c r="D93" i="116" s="1"/>
  <c r="H128" i="116"/>
  <c r="D89" i="116" s="1"/>
  <c r="D12" i="22" s="1"/>
  <c r="L29" i="34"/>
  <c r="K30" i="34" s="1"/>
  <c r="L12" i="36"/>
  <c r="C13" i="3"/>
  <c r="D46" i="2"/>
  <c r="D47" i="2"/>
  <c r="D68" i="2"/>
  <c r="D56" i="2"/>
  <c r="D57" i="2"/>
  <c r="H56" i="2"/>
  <c r="H57" i="2"/>
  <c r="H58" i="2" s="1"/>
  <c r="H59" i="2" s="1"/>
  <c r="C191" i="2"/>
  <c r="C185" i="2"/>
  <c r="C15" i="114"/>
  <c r="D91" i="135" l="1"/>
  <c r="H136" i="117"/>
  <c r="H89" i="117" s="1"/>
  <c r="H135" i="117"/>
  <c r="H85" i="117" s="1"/>
  <c r="E22" i="3" s="1"/>
  <c r="D58" i="2"/>
  <c r="D59" i="2" s="1"/>
  <c r="D48" i="2"/>
  <c r="D49" i="2" s="1"/>
  <c r="D86" i="131"/>
  <c r="I17" i="22" s="1"/>
  <c r="I19" i="22"/>
  <c r="I22" i="22" s="1"/>
  <c r="L132" i="122"/>
  <c r="L134" i="122"/>
  <c r="L133" i="122"/>
  <c r="L132" i="118"/>
  <c r="L134" i="118"/>
  <c r="L133" i="118"/>
  <c r="J21" i="22"/>
  <c r="D85" i="130"/>
  <c r="H92" i="118"/>
  <c r="D90" i="132" s="1"/>
  <c r="D89" i="132"/>
  <c r="H83" i="122"/>
  <c r="J21" i="3"/>
  <c r="D79" i="131"/>
  <c r="D80" i="131" s="1"/>
  <c r="D84" i="121"/>
  <c r="I23" i="3" s="1"/>
  <c r="F21" i="22"/>
  <c r="D85" i="132"/>
  <c r="K21" i="22"/>
  <c r="D85" i="125"/>
  <c r="H83" i="119"/>
  <c r="G21" i="3"/>
  <c r="D89" i="130"/>
  <c r="H92" i="122"/>
  <c r="D90" i="130" s="1"/>
  <c r="H83" i="123"/>
  <c r="K21" i="3"/>
  <c r="H92" i="119"/>
  <c r="D90" i="134" s="1"/>
  <c r="D89" i="134"/>
  <c r="H83" i="118"/>
  <c r="F21" i="3"/>
  <c r="N132" i="121"/>
  <c r="N133" i="121" s="1"/>
  <c r="H131" i="121" s="1"/>
  <c r="D94" i="124"/>
  <c r="H92" i="123"/>
  <c r="D90" i="125" s="1"/>
  <c r="D89" i="125"/>
  <c r="L132" i="119"/>
  <c r="L134" i="119"/>
  <c r="L133" i="119"/>
  <c r="I16" i="114"/>
  <c r="D91" i="131"/>
  <c r="D92" i="131" s="1"/>
  <c r="L132" i="123"/>
  <c r="N132" i="123" s="1"/>
  <c r="N133" i="123" s="1"/>
  <c r="H131" i="123" s="1"/>
  <c r="L134" i="123"/>
  <c r="L133" i="123"/>
  <c r="G21" i="22"/>
  <c r="D85" i="134"/>
  <c r="D79" i="136"/>
  <c r="D80" i="136" s="1"/>
  <c r="D84" i="116"/>
  <c r="D23" i="3" s="1"/>
  <c r="D19" i="22"/>
  <c r="D22" i="22" s="1"/>
  <c r="D16" i="114"/>
  <c r="D91" i="136"/>
  <c r="N132" i="116"/>
  <c r="N133" i="116" s="1"/>
  <c r="H131" i="116" s="1"/>
  <c r="K9" i="114"/>
  <c r="D94" i="120"/>
  <c r="H9" i="114"/>
  <c r="G9" i="114"/>
  <c r="D9" i="114"/>
  <c r="I139" i="136"/>
  <c r="G138" i="136"/>
  <c r="J137" i="136"/>
  <c r="H137" i="136"/>
  <c r="L137" i="136"/>
  <c r="D77" i="135"/>
  <c r="I141" i="135"/>
  <c r="G140" i="135"/>
  <c r="L139" i="135"/>
  <c r="H139" i="135"/>
  <c r="J139" i="135"/>
  <c r="J138" i="134"/>
  <c r="L138" i="134"/>
  <c r="H138" i="134"/>
  <c r="G139" i="134"/>
  <c r="I140" i="134"/>
  <c r="G139" i="132"/>
  <c r="I140" i="132"/>
  <c r="J138" i="132"/>
  <c r="L138" i="132"/>
  <c r="H138" i="132"/>
  <c r="J138" i="131"/>
  <c r="L138" i="131"/>
  <c r="H138" i="131"/>
  <c r="G139" i="131"/>
  <c r="I140" i="131"/>
  <c r="J138" i="130"/>
  <c r="L138" i="130"/>
  <c r="H138" i="130"/>
  <c r="G139" i="130"/>
  <c r="I140" i="130"/>
  <c r="L136" i="129"/>
  <c r="J136" i="129"/>
  <c r="H136" i="129"/>
  <c r="I138" i="129"/>
  <c r="G137" i="129"/>
  <c r="J137" i="128"/>
  <c r="H137" i="128"/>
  <c r="L137" i="128"/>
  <c r="I139" i="128"/>
  <c r="G138" i="128"/>
  <c r="D77" i="125"/>
  <c r="J138" i="125"/>
  <c r="H138" i="125"/>
  <c r="L138" i="125"/>
  <c r="G139" i="125"/>
  <c r="I140" i="125"/>
  <c r="D94" i="117"/>
  <c r="D34" i="34"/>
  <c r="L30" i="34"/>
  <c r="K31" i="34" s="1"/>
  <c r="H58" i="3"/>
  <c r="C61" i="3" s="1"/>
  <c r="I1" i="114"/>
  <c r="C18" i="22"/>
  <c r="C20" i="22"/>
  <c r="F23" i="1"/>
  <c r="G121" i="34"/>
  <c r="H121" i="34" s="1"/>
  <c r="M131" i="34"/>
  <c r="M132" i="34" s="1"/>
  <c r="M133" i="34" s="1"/>
  <c r="M134" i="34" s="1"/>
  <c r="M135" i="34" s="1"/>
  <c r="M136" i="34" s="1"/>
  <c r="M137" i="34" s="1"/>
  <c r="M138" i="34" s="1"/>
  <c r="M139" i="34" s="1"/>
  <c r="M140" i="34" s="1"/>
  <c r="M141" i="34" s="1"/>
  <c r="M142" i="34" s="1"/>
  <c r="M143" i="34" s="1"/>
  <c r="M144" i="34" s="1"/>
  <c r="M145" i="34" s="1"/>
  <c r="M146" i="34" s="1"/>
  <c r="M147" i="34" s="1"/>
  <c r="M148" i="34" s="1"/>
  <c r="M149" i="34" s="1"/>
  <c r="M150" i="34" s="1"/>
  <c r="M151" i="34" s="1"/>
  <c r="M152" i="34" s="1"/>
  <c r="M153" i="34" s="1"/>
  <c r="M154" i="34" s="1"/>
  <c r="M155" i="34" s="1"/>
  <c r="M156" i="34" s="1"/>
  <c r="M157" i="34" s="1"/>
  <c r="M158" i="34" s="1"/>
  <c r="M159" i="34" s="1"/>
  <c r="M160" i="34" s="1"/>
  <c r="M161" i="34" s="1"/>
  <c r="M162" i="34" s="1"/>
  <c r="M163" i="34" s="1"/>
  <c r="M164" i="34" s="1"/>
  <c r="M165" i="34" s="1"/>
  <c r="M166" i="34" s="1"/>
  <c r="M167" i="34" s="1"/>
  <c r="M168" i="34" s="1"/>
  <c r="M169" i="34" s="1"/>
  <c r="M170" i="34" s="1"/>
  <c r="M171" i="34" s="1"/>
  <c r="M172" i="34" s="1"/>
  <c r="M173" i="34" s="1"/>
  <c r="M174" i="34" s="1"/>
  <c r="M175" i="34" s="1"/>
  <c r="M176" i="34" s="1"/>
  <c r="M177" i="34" s="1"/>
  <c r="M178" i="34" s="1"/>
  <c r="M179" i="34" s="1"/>
  <c r="M180" i="34" s="1"/>
  <c r="M181" i="34" s="1"/>
  <c r="J69" i="34"/>
  <c r="G100" i="2"/>
  <c r="H100" i="2"/>
  <c r="I100" i="2"/>
  <c r="G101" i="2"/>
  <c r="H101" i="2"/>
  <c r="I101" i="2"/>
  <c r="G102" i="2"/>
  <c r="H102" i="2"/>
  <c r="I102" i="2"/>
  <c r="G103" i="2"/>
  <c r="H103" i="2"/>
  <c r="I103" i="2"/>
  <c r="G104" i="2"/>
  <c r="H104" i="2"/>
  <c r="I104" i="2"/>
  <c r="G105" i="2"/>
  <c r="H105" i="2"/>
  <c r="I105" i="2"/>
  <c r="G106" i="2"/>
  <c r="H106" i="2"/>
  <c r="I106" i="2"/>
  <c r="G107" i="2"/>
  <c r="H107" i="2"/>
  <c r="I107" i="2"/>
  <c r="G108" i="2"/>
  <c r="H108" i="2"/>
  <c r="I108" i="2"/>
  <c r="H124" i="2"/>
  <c r="F125" i="2"/>
  <c r="H125" i="2" s="1"/>
  <c r="H132" i="2"/>
  <c r="F133" i="2"/>
  <c r="H133" i="2" s="1"/>
  <c r="C186" i="2"/>
  <c r="D76" i="2"/>
  <c r="C187" i="2" s="1"/>
  <c r="H137" i="123" l="1"/>
  <c r="H93" i="123" s="1"/>
  <c r="D94" i="123" s="1"/>
  <c r="H135" i="123"/>
  <c r="H85" i="123" s="1"/>
  <c r="K22" i="3" s="1"/>
  <c r="H136" i="123"/>
  <c r="H89" i="123" s="1"/>
  <c r="H137" i="121"/>
  <c r="H93" i="121" s="1"/>
  <c r="D94" i="121" s="1"/>
  <c r="H136" i="121"/>
  <c r="H89" i="121" s="1"/>
  <c r="H135" i="121"/>
  <c r="H85" i="121" s="1"/>
  <c r="I22" i="3" s="1"/>
  <c r="D81" i="131"/>
  <c r="I16" i="36" s="1"/>
  <c r="I18" i="36"/>
  <c r="N132" i="118"/>
  <c r="N133" i="118" s="1"/>
  <c r="H131" i="118" s="1"/>
  <c r="D18" i="36"/>
  <c r="D79" i="132"/>
  <c r="D80" i="132" s="1"/>
  <c r="D84" i="118"/>
  <c r="F23" i="3" s="1"/>
  <c r="D79" i="134"/>
  <c r="D80" i="134" s="1"/>
  <c r="D84" i="119"/>
  <c r="G23" i="3" s="1"/>
  <c r="D79" i="130"/>
  <c r="D80" i="130" s="1"/>
  <c r="D84" i="122"/>
  <c r="J23" i="3" s="1"/>
  <c r="J16" i="114"/>
  <c r="D91" i="130"/>
  <c r="D92" i="130" s="1"/>
  <c r="D86" i="134"/>
  <c r="G17" i="22" s="1"/>
  <c r="G19" i="22"/>
  <c r="G22" i="22" s="1"/>
  <c r="D86" i="125"/>
  <c r="K17" i="22" s="1"/>
  <c r="K19" i="22"/>
  <c r="K22" i="22" s="1"/>
  <c r="H135" i="116"/>
  <c r="H85" i="116" s="1"/>
  <c r="D22" i="3" s="1"/>
  <c r="H137" i="116"/>
  <c r="H93" i="116" s="1"/>
  <c r="D94" i="116" s="1"/>
  <c r="H136" i="116"/>
  <c r="H89" i="116" s="1"/>
  <c r="N132" i="119"/>
  <c r="N133" i="119" s="1"/>
  <c r="H131" i="119" s="1"/>
  <c r="G16" i="114"/>
  <c r="D91" i="134"/>
  <c r="D92" i="134" s="1"/>
  <c r="F16" i="114"/>
  <c r="D91" i="132"/>
  <c r="D92" i="132" s="1"/>
  <c r="N132" i="122"/>
  <c r="N133" i="122" s="1"/>
  <c r="H131" i="122" s="1"/>
  <c r="F19" i="22"/>
  <c r="F22" i="22" s="1"/>
  <c r="D86" i="132"/>
  <c r="F17" i="22" s="1"/>
  <c r="D86" i="130"/>
  <c r="J17" i="22" s="1"/>
  <c r="J19" i="22"/>
  <c r="J22" i="22" s="1"/>
  <c r="K16" i="114"/>
  <c r="D91" i="125"/>
  <c r="D92" i="125" s="1"/>
  <c r="D79" i="125"/>
  <c r="D80" i="125" s="1"/>
  <c r="D84" i="123"/>
  <c r="K23" i="3" s="1"/>
  <c r="H62" i="3"/>
  <c r="H63" i="3" s="1"/>
  <c r="J138" i="136"/>
  <c r="L138" i="136"/>
  <c r="H138" i="136"/>
  <c r="G139" i="136"/>
  <c r="I140" i="136"/>
  <c r="L140" i="135"/>
  <c r="H140" i="135"/>
  <c r="J140" i="135"/>
  <c r="G141" i="135"/>
  <c r="I142" i="135"/>
  <c r="I141" i="134"/>
  <c r="G140" i="134"/>
  <c r="J139" i="134"/>
  <c r="L139" i="134"/>
  <c r="H139" i="134"/>
  <c r="I141" i="132"/>
  <c r="G140" i="132"/>
  <c r="L139" i="132"/>
  <c r="H139" i="132"/>
  <c r="J139" i="132"/>
  <c r="D77" i="131"/>
  <c r="I141" i="131"/>
  <c r="G140" i="131"/>
  <c r="L139" i="131"/>
  <c r="H139" i="131"/>
  <c r="J139" i="131"/>
  <c r="L139" i="130"/>
  <c r="H139" i="130"/>
  <c r="J139" i="130"/>
  <c r="I141" i="130"/>
  <c r="G140" i="130"/>
  <c r="J137" i="129"/>
  <c r="L137" i="129"/>
  <c r="H137" i="129"/>
  <c r="G138" i="129"/>
  <c r="I139" i="129"/>
  <c r="D77" i="129"/>
  <c r="J138" i="128"/>
  <c r="L138" i="128"/>
  <c r="H138" i="128"/>
  <c r="G139" i="128"/>
  <c r="I140" i="128"/>
  <c r="I141" i="125"/>
  <c r="G140" i="125"/>
  <c r="L139" i="125"/>
  <c r="H139" i="125"/>
  <c r="J139" i="125"/>
  <c r="G109" i="2"/>
  <c r="C122" i="2" s="1"/>
  <c r="D72" i="2" s="1"/>
  <c r="L31" i="34"/>
  <c r="K32" i="34" s="1"/>
  <c r="I109" i="2"/>
  <c r="L13" i="36"/>
  <c r="C62" i="3"/>
  <c r="C63" i="3" s="1"/>
  <c r="K12" i="114"/>
  <c r="D12" i="114"/>
  <c r="E12" i="114"/>
  <c r="G12" i="114"/>
  <c r="L12" i="114"/>
  <c r="K12" i="36"/>
  <c r="J12" i="114"/>
  <c r="I12" i="114"/>
  <c r="H12" i="114"/>
  <c r="H12" i="36"/>
  <c r="I12" i="36"/>
  <c r="J12" i="36"/>
  <c r="H109" i="2"/>
  <c r="H74" i="2" s="1"/>
  <c r="K18" i="36" l="1"/>
  <c r="D81" i="125"/>
  <c r="K16" i="36" s="1"/>
  <c r="D81" i="130"/>
  <c r="J16" i="36" s="1"/>
  <c r="J18" i="36"/>
  <c r="D81" i="134"/>
  <c r="G16" i="36" s="1"/>
  <c r="G18" i="36"/>
  <c r="H136" i="122"/>
  <c r="H89" i="122" s="1"/>
  <c r="H137" i="122"/>
  <c r="H93" i="122" s="1"/>
  <c r="D94" i="122" s="1"/>
  <c r="H135" i="122"/>
  <c r="H85" i="122" s="1"/>
  <c r="J22" i="3" s="1"/>
  <c r="D81" i="132"/>
  <c r="F16" i="36" s="1"/>
  <c r="F18" i="36"/>
  <c r="H137" i="119"/>
  <c r="H93" i="119" s="1"/>
  <c r="D94" i="119" s="1"/>
  <c r="H135" i="119"/>
  <c r="H85" i="119" s="1"/>
  <c r="G22" i="3" s="1"/>
  <c r="H136" i="119"/>
  <c r="H89" i="119" s="1"/>
  <c r="H136" i="118"/>
  <c r="H89" i="118" s="1"/>
  <c r="H137" i="118"/>
  <c r="H93" i="118" s="1"/>
  <c r="D94" i="118" s="1"/>
  <c r="H135" i="118"/>
  <c r="H85" i="118" s="1"/>
  <c r="F22" i="3" s="1"/>
  <c r="I141" i="136"/>
  <c r="G140" i="136"/>
  <c r="L139" i="136"/>
  <c r="H139" i="136"/>
  <c r="J139" i="136"/>
  <c r="I143" i="135"/>
  <c r="G142" i="135"/>
  <c r="J141" i="135"/>
  <c r="H141" i="135"/>
  <c r="L141" i="135"/>
  <c r="L140" i="134"/>
  <c r="H140" i="134"/>
  <c r="J140" i="134"/>
  <c r="I142" i="134"/>
  <c r="G141" i="134"/>
  <c r="L140" i="132"/>
  <c r="H140" i="132"/>
  <c r="J140" i="132"/>
  <c r="I142" i="132"/>
  <c r="G141" i="132"/>
  <c r="L140" i="131"/>
  <c r="H140" i="131"/>
  <c r="J140" i="131"/>
  <c r="I142" i="131"/>
  <c r="G141" i="131"/>
  <c r="I142" i="130"/>
  <c r="G141" i="130"/>
  <c r="L140" i="130"/>
  <c r="H140" i="130"/>
  <c r="J140" i="130"/>
  <c r="G139" i="129"/>
  <c r="I140" i="129"/>
  <c r="J138" i="129"/>
  <c r="L138" i="129"/>
  <c r="H138" i="129"/>
  <c r="D77" i="128"/>
  <c r="J139" i="128"/>
  <c r="L139" i="128"/>
  <c r="H139" i="128"/>
  <c r="I141" i="128"/>
  <c r="G140" i="128"/>
  <c r="L140" i="125"/>
  <c r="H140" i="125"/>
  <c r="J140" i="125"/>
  <c r="I142" i="125"/>
  <c r="G141" i="125"/>
  <c r="C64" i="3"/>
  <c r="C65" i="3" s="1"/>
  <c r="L32" i="34"/>
  <c r="K33" i="34" s="1"/>
  <c r="L33" i="34" s="1"/>
  <c r="F168" i="2"/>
  <c r="F169" i="2" s="1"/>
  <c r="C171" i="2" s="1"/>
  <c r="G12" i="36"/>
  <c r="E12" i="36"/>
  <c r="D79" i="2"/>
  <c r="L140" i="136" l="1"/>
  <c r="H140" i="136"/>
  <c r="J140" i="136"/>
  <c r="G141" i="136"/>
  <c r="I142" i="136"/>
  <c r="G143" i="135"/>
  <c r="I144" i="135"/>
  <c r="J142" i="135"/>
  <c r="L142" i="135"/>
  <c r="H142" i="135"/>
  <c r="L141" i="134"/>
  <c r="H141" i="134"/>
  <c r="J141" i="134"/>
  <c r="I143" i="134"/>
  <c r="G142" i="134"/>
  <c r="J141" i="132"/>
  <c r="H141" i="132"/>
  <c r="L141" i="132"/>
  <c r="I143" i="132"/>
  <c r="G142" i="132"/>
  <c r="I143" i="131"/>
  <c r="G142" i="131"/>
  <c r="L141" i="131"/>
  <c r="H141" i="131"/>
  <c r="J141" i="131"/>
  <c r="I143" i="130"/>
  <c r="G142" i="130"/>
  <c r="J141" i="130"/>
  <c r="H141" i="130"/>
  <c r="L141" i="130"/>
  <c r="L139" i="129"/>
  <c r="H139" i="129"/>
  <c r="J139" i="129"/>
  <c r="I141" i="129"/>
  <c r="G140" i="129"/>
  <c r="L140" i="128"/>
  <c r="H140" i="128"/>
  <c r="J140" i="128"/>
  <c r="I142" i="128"/>
  <c r="G141" i="128"/>
  <c r="L141" i="125"/>
  <c r="H141" i="125"/>
  <c r="J141" i="125"/>
  <c r="I143" i="125"/>
  <c r="G142" i="125"/>
  <c r="F170" i="2"/>
  <c r="F12" i="114"/>
  <c r="D12" i="36"/>
  <c r="I143" i="136" l="1"/>
  <c r="G142" i="136"/>
  <c r="J141" i="136"/>
  <c r="L141" i="136"/>
  <c r="H141" i="136"/>
  <c r="I145" i="135"/>
  <c r="G144" i="135"/>
  <c r="L143" i="135"/>
  <c r="H143" i="135"/>
  <c r="J143" i="135"/>
  <c r="G143" i="134"/>
  <c r="I144" i="134"/>
  <c r="J142" i="134"/>
  <c r="L142" i="134"/>
  <c r="H142" i="134"/>
  <c r="J142" i="132"/>
  <c r="H142" i="132"/>
  <c r="L142" i="132"/>
  <c r="G143" i="132"/>
  <c r="I144" i="132"/>
  <c r="J142" i="131"/>
  <c r="L142" i="131"/>
  <c r="H142" i="131"/>
  <c r="G143" i="131"/>
  <c r="I144" i="131"/>
  <c r="G143" i="130"/>
  <c r="I144" i="130"/>
  <c r="J142" i="130"/>
  <c r="L142" i="130"/>
  <c r="H142" i="130"/>
  <c r="L140" i="129"/>
  <c r="H140" i="129"/>
  <c r="J140" i="129"/>
  <c r="G141" i="129"/>
  <c r="I142" i="129"/>
  <c r="L141" i="128"/>
  <c r="H141" i="128"/>
  <c r="J141" i="128"/>
  <c r="I143" i="128"/>
  <c r="G142" i="128"/>
  <c r="J142" i="125"/>
  <c r="L142" i="125"/>
  <c r="H142" i="125"/>
  <c r="G143" i="125"/>
  <c r="I144" i="125"/>
  <c r="G171" i="2"/>
  <c r="F12" i="36"/>
  <c r="K13" i="36"/>
  <c r="K14" i="22"/>
  <c r="K24" i="22" s="1"/>
  <c r="I14" i="22"/>
  <c r="I24" i="22" s="1"/>
  <c r="F14" i="22"/>
  <c r="F24" i="22" s="1"/>
  <c r="L14" i="22"/>
  <c r="L24" i="22" s="1"/>
  <c r="D14" i="22"/>
  <c r="D24" i="22" s="1"/>
  <c r="J14" i="22"/>
  <c r="J24" i="22" s="1"/>
  <c r="G14" i="22"/>
  <c r="G24" i="22" s="1"/>
  <c r="E14" i="22"/>
  <c r="E24" i="22" s="1"/>
  <c r="H14" i="22"/>
  <c r="H24" i="22" s="1"/>
  <c r="K175" i="2" l="1"/>
  <c r="D80" i="2" s="1"/>
  <c r="G143" i="136"/>
  <c r="I144" i="136"/>
  <c r="J142" i="136"/>
  <c r="L142" i="136"/>
  <c r="H142" i="136"/>
  <c r="L144" i="135"/>
  <c r="H144" i="135"/>
  <c r="J144" i="135"/>
  <c r="I146" i="135"/>
  <c r="G145" i="135"/>
  <c r="I145" i="134"/>
  <c r="G144" i="134"/>
  <c r="J143" i="134"/>
  <c r="L143" i="134"/>
  <c r="H143" i="134"/>
  <c r="I145" i="132"/>
  <c r="G144" i="132"/>
  <c r="L143" i="132"/>
  <c r="H143" i="132"/>
  <c r="J143" i="132"/>
  <c r="J143" i="131"/>
  <c r="L143" i="131"/>
  <c r="H143" i="131"/>
  <c r="I145" i="131"/>
  <c r="G144" i="131"/>
  <c r="J143" i="130"/>
  <c r="L143" i="130"/>
  <c r="H143" i="130"/>
  <c r="I145" i="130"/>
  <c r="G144" i="130"/>
  <c r="J141" i="129"/>
  <c r="L141" i="129"/>
  <c r="H141" i="129"/>
  <c r="I143" i="129"/>
  <c r="G142" i="129"/>
  <c r="G143" i="128"/>
  <c r="I144" i="128"/>
  <c r="J142" i="128"/>
  <c r="L142" i="128"/>
  <c r="H142" i="128"/>
  <c r="I145" i="125"/>
  <c r="G144" i="125"/>
  <c r="J143" i="125"/>
  <c r="L143" i="125"/>
  <c r="H143" i="125"/>
  <c r="H13" i="36"/>
  <c r="E13" i="36"/>
  <c r="J71" i="34"/>
  <c r="J70" i="34"/>
  <c r="J63" i="34"/>
  <c r="J62" i="34"/>
  <c r="J61" i="34"/>
  <c r="J60" i="34"/>
  <c r="J59" i="34"/>
  <c r="J53" i="34"/>
  <c r="J52" i="34"/>
  <c r="J51" i="34"/>
  <c r="J50" i="34"/>
  <c r="J49" i="34"/>
  <c r="J39" i="34"/>
  <c r="J40" i="34"/>
  <c r="J41" i="34"/>
  <c r="J42" i="34"/>
  <c r="J43" i="34"/>
  <c r="I145" i="136" l="1"/>
  <c r="G144" i="136"/>
  <c r="L143" i="136"/>
  <c r="H143" i="136"/>
  <c r="J143" i="136"/>
  <c r="L145" i="135"/>
  <c r="H145" i="135"/>
  <c r="J145" i="135"/>
  <c r="I147" i="135"/>
  <c r="G146" i="135"/>
  <c r="L144" i="134"/>
  <c r="H144" i="134"/>
  <c r="J144" i="134"/>
  <c r="I146" i="134"/>
  <c r="G145" i="134"/>
  <c r="L144" i="132"/>
  <c r="H144" i="132"/>
  <c r="J144" i="132"/>
  <c r="I146" i="132"/>
  <c r="G145" i="132"/>
  <c r="I146" i="131"/>
  <c r="G145" i="131"/>
  <c r="L144" i="131"/>
  <c r="H144" i="131"/>
  <c r="J144" i="131"/>
  <c r="L144" i="130"/>
  <c r="H144" i="130"/>
  <c r="J144" i="130"/>
  <c r="I146" i="130"/>
  <c r="G145" i="130"/>
  <c r="J142" i="129"/>
  <c r="L142" i="129"/>
  <c r="H142" i="129"/>
  <c r="G143" i="129"/>
  <c r="I144" i="129"/>
  <c r="I145" i="128"/>
  <c r="G144" i="128"/>
  <c r="J143" i="128"/>
  <c r="L143" i="128"/>
  <c r="H143" i="128"/>
  <c r="L144" i="125"/>
  <c r="H144" i="125"/>
  <c r="J144" i="125"/>
  <c r="I146" i="125"/>
  <c r="G145" i="125"/>
  <c r="F13" i="36"/>
  <c r="K11" i="114"/>
  <c r="L11" i="114"/>
  <c r="J13" i="36"/>
  <c r="J11" i="114"/>
  <c r="I13" i="36"/>
  <c r="I11" i="114"/>
  <c r="H11" i="114"/>
  <c r="G11" i="114"/>
  <c r="G13" i="36"/>
  <c r="F11" i="114"/>
  <c r="E11" i="114"/>
  <c r="D13" i="36"/>
  <c r="D11" i="114"/>
  <c r="D13" i="22"/>
  <c r="D23" i="22" s="1"/>
  <c r="L26" i="2"/>
  <c r="L144" i="136" l="1"/>
  <c r="H144" i="136"/>
  <c r="J144" i="136"/>
  <c r="I146" i="136"/>
  <c r="G145" i="136"/>
  <c r="J146" i="135"/>
  <c r="L146" i="135"/>
  <c r="H146" i="135"/>
  <c r="G147" i="135"/>
  <c r="I148" i="135"/>
  <c r="I147" i="134"/>
  <c r="G146" i="134"/>
  <c r="L145" i="134"/>
  <c r="H145" i="134"/>
  <c r="J145" i="134"/>
  <c r="L145" i="132"/>
  <c r="H145" i="132"/>
  <c r="J145" i="132"/>
  <c r="I147" i="132"/>
  <c r="G146" i="132"/>
  <c r="L145" i="131"/>
  <c r="H145" i="131"/>
  <c r="J145" i="131"/>
  <c r="I147" i="131"/>
  <c r="G146" i="131"/>
  <c r="L145" i="130"/>
  <c r="H145" i="130"/>
  <c r="J145" i="130"/>
  <c r="I147" i="130"/>
  <c r="G146" i="130"/>
  <c r="I145" i="129"/>
  <c r="G144" i="129"/>
  <c r="L143" i="129"/>
  <c r="H143" i="129"/>
  <c r="J143" i="129"/>
  <c r="I146" i="128"/>
  <c r="G145" i="128"/>
  <c r="L144" i="128"/>
  <c r="H144" i="128"/>
  <c r="J144" i="128"/>
  <c r="L145" i="125"/>
  <c r="H145" i="125"/>
  <c r="J145" i="125"/>
  <c r="I147" i="125"/>
  <c r="G146" i="125"/>
  <c r="M32" i="3"/>
  <c r="H38" i="2"/>
  <c r="H39" i="2" s="1"/>
  <c r="D38" i="2"/>
  <c r="D39" i="2" s="1"/>
  <c r="L145" i="136" l="1"/>
  <c r="H145" i="136"/>
  <c r="J145" i="136"/>
  <c r="I147" i="136"/>
  <c r="G146" i="136"/>
  <c r="G148" i="135"/>
  <c r="I149" i="135"/>
  <c r="J147" i="135"/>
  <c r="L147" i="135"/>
  <c r="H147" i="135"/>
  <c r="G147" i="134"/>
  <c r="I148" i="134"/>
  <c r="J146" i="134"/>
  <c r="L146" i="134"/>
  <c r="H146" i="134"/>
  <c r="G147" i="132"/>
  <c r="I148" i="132"/>
  <c r="J146" i="132"/>
  <c r="L146" i="132"/>
  <c r="H146" i="132"/>
  <c r="J146" i="131"/>
  <c r="L146" i="131"/>
  <c r="H146" i="131"/>
  <c r="G147" i="131"/>
  <c r="I148" i="131"/>
  <c r="J146" i="130"/>
  <c r="L146" i="130"/>
  <c r="H146" i="130"/>
  <c r="G147" i="130"/>
  <c r="I148" i="130"/>
  <c r="I146" i="129"/>
  <c r="G145" i="129"/>
  <c r="L144" i="129"/>
  <c r="H144" i="129"/>
  <c r="J144" i="129"/>
  <c r="L145" i="128"/>
  <c r="H145" i="128"/>
  <c r="J145" i="128"/>
  <c r="I147" i="128"/>
  <c r="G146" i="128"/>
  <c r="J146" i="125"/>
  <c r="L146" i="125"/>
  <c r="H146" i="125"/>
  <c r="G147" i="125"/>
  <c r="I148" i="125"/>
  <c r="M34" i="3"/>
  <c r="M33" i="3"/>
  <c r="H31" i="3"/>
  <c r="H32" i="3"/>
  <c r="H30" i="3"/>
  <c r="N28" i="1"/>
  <c r="N27" i="1"/>
  <c r="N26" i="1"/>
  <c r="G147" i="136" l="1"/>
  <c r="I148" i="136"/>
  <c r="J146" i="136"/>
  <c r="L146" i="136"/>
  <c r="H146" i="136"/>
  <c r="G149" i="135"/>
  <c r="I150" i="135"/>
  <c r="L148" i="135"/>
  <c r="H148" i="135"/>
  <c r="J148" i="135"/>
  <c r="G148" i="134"/>
  <c r="I149" i="134"/>
  <c r="J147" i="134"/>
  <c r="L147" i="134"/>
  <c r="H147" i="134"/>
  <c r="G148" i="132"/>
  <c r="I149" i="132"/>
  <c r="J147" i="132"/>
  <c r="L147" i="132"/>
  <c r="H147" i="132"/>
  <c r="J147" i="131"/>
  <c r="L147" i="131"/>
  <c r="H147" i="131"/>
  <c r="G148" i="131"/>
  <c r="I149" i="131"/>
  <c r="J147" i="130"/>
  <c r="L147" i="130"/>
  <c r="H147" i="130"/>
  <c r="G148" i="130"/>
  <c r="I149" i="130"/>
  <c r="L145" i="129"/>
  <c r="H145" i="129"/>
  <c r="J145" i="129"/>
  <c r="I147" i="129"/>
  <c r="G146" i="129"/>
  <c r="J146" i="128"/>
  <c r="L146" i="128"/>
  <c r="H146" i="128"/>
  <c r="G147" i="128"/>
  <c r="I148" i="128"/>
  <c r="G148" i="125"/>
  <c r="I149" i="125"/>
  <c r="J147" i="125"/>
  <c r="L147" i="125"/>
  <c r="H147" i="125"/>
  <c r="G35" i="3"/>
  <c r="H67" i="2"/>
  <c r="D67" i="2"/>
  <c r="H66" i="2"/>
  <c r="D66" i="2"/>
  <c r="H47" i="2"/>
  <c r="H46" i="2"/>
  <c r="H32" i="2"/>
  <c r="D32" i="2"/>
  <c r="D33" i="2" s="1"/>
  <c r="D70" i="2" s="1"/>
  <c r="D13" i="2"/>
  <c r="D12" i="2"/>
  <c r="D11" i="2"/>
  <c r="D73" i="2" s="1"/>
  <c r="E1" i="2"/>
  <c r="H68" i="2" l="1"/>
  <c r="H69" i="2" s="1"/>
  <c r="D49" i="34"/>
  <c r="D49" i="128"/>
  <c r="N53" i="128" s="1"/>
  <c r="D29" i="128"/>
  <c r="D39" i="125"/>
  <c r="D49" i="130"/>
  <c r="N53" i="130" s="1"/>
  <c r="D59" i="131"/>
  <c r="N63" i="131" s="1"/>
  <c r="D69" i="129"/>
  <c r="N73" i="129" s="1"/>
  <c r="D29" i="129"/>
  <c r="D39" i="134"/>
  <c r="D49" i="132"/>
  <c r="N53" i="132" s="1"/>
  <c r="D59" i="135"/>
  <c r="N63" i="135" s="1"/>
  <c r="D39" i="135"/>
  <c r="D49" i="136"/>
  <c r="N53" i="136" s="1"/>
  <c r="D69" i="34"/>
  <c r="N73" i="34" s="1"/>
  <c r="J29" i="3"/>
  <c r="D59" i="128"/>
  <c r="N63" i="128" s="1"/>
  <c r="D39" i="128"/>
  <c r="D69" i="125"/>
  <c r="N73" i="125" s="1"/>
  <c r="D49" i="125"/>
  <c r="N53" i="125" s="1"/>
  <c r="D29" i="125"/>
  <c r="D59" i="130"/>
  <c r="N63" i="130" s="1"/>
  <c r="D39" i="130"/>
  <c r="D69" i="131"/>
  <c r="N73" i="131" s="1"/>
  <c r="D49" i="131"/>
  <c r="N53" i="131" s="1"/>
  <c r="D29" i="131"/>
  <c r="D59" i="129"/>
  <c r="N63" i="129" s="1"/>
  <c r="D39" i="129"/>
  <c r="D69" i="134"/>
  <c r="N73" i="134" s="1"/>
  <c r="D49" i="134"/>
  <c r="N53" i="134" s="1"/>
  <c r="D29" i="134"/>
  <c r="D59" i="132"/>
  <c r="N63" i="132" s="1"/>
  <c r="D39" i="132"/>
  <c r="D69" i="135"/>
  <c r="N73" i="135" s="1"/>
  <c r="D49" i="135"/>
  <c r="N53" i="135" s="1"/>
  <c r="D29" i="135"/>
  <c r="D59" i="136"/>
  <c r="N63" i="136" s="1"/>
  <c r="D39" i="136"/>
  <c r="D59" i="34"/>
  <c r="D69" i="128"/>
  <c r="N73" i="128" s="1"/>
  <c r="D59" i="125"/>
  <c r="N63" i="125" s="1"/>
  <c r="D69" i="130"/>
  <c r="N73" i="130" s="1"/>
  <c r="D29" i="130"/>
  <c r="D39" i="131"/>
  <c r="D49" i="129"/>
  <c r="N53" i="129" s="1"/>
  <c r="D59" i="134"/>
  <c r="N63" i="134" s="1"/>
  <c r="D69" i="132"/>
  <c r="N73" i="132" s="1"/>
  <c r="D29" i="132"/>
  <c r="D69" i="136"/>
  <c r="N73" i="136" s="1"/>
  <c r="D29" i="136"/>
  <c r="D39" i="34"/>
  <c r="D29" i="34"/>
  <c r="C12" i="128"/>
  <c r="C12" i="125"/>
  <c r="C12" i="130"/>
  <c r="C12" i="131"/>
  <c r="C12" i="129"/>
  <c r="C12" i="134"/>
  <c r="C12" i="132"/>
  <c r="C12" i="135"/>
  <c r="C12" i="136"/>
  <c r="G148" i="136"/>
  <c r="I149" i="136"/>
  <c r="J147" i="136"/>
  <c r="L147" i="136"/>
  <c r="H147" i="136"/>
  <c r="L149" i="135"/>
  <c r="H149" i="135"/>
  <c r="J149" i="135"/>
  <c r="G150" i="135"/>
  <c r="I151" i="135"/>
  <c r="L148" i="134"/>
  <c r="H148" i="134"/>
  <c r="J148" i="134"/>
  <c r="G149" i="134"/>
  <c r="I150" i="134"/>
  <c r="G149" i="132"/>
  <c r="I150" i="132"/>
  <c r="L148" i="132"/>
  <c r="H148" i="132"/>
  <c r="J148" i="132"/>
  <c r="L148" i="131"/>
  <c r="H148" i="131"/>
  <c r="J148" i="131"/>
  <c r="G149" i="131"/>
  <c r="I150" i="131"/>
  <c r="G149" i="130"/>
  <c r="I150" i="130"/>
  <c r="L148" i="130"/>
  <c r="H148" i="130"/>
  <c r="J148" i="130"/>
  <c r="J146" i="129"/>
  <c r="L146" i="129"/>
  <c r="H146" i="129"/>
  <c r="G147" i="129"/>
  <c r="I148" i="129"/>
  <c r="G148" i="128"/>
  <c r="I149" i="128"/>
  <c r="J147" i="128"/>
  <c r="L147" i="128"/>
  <c r="H147" i="128"/>
  <c r="G149" i="125"/>
  <c r="I150" i="125"/>
  <c r="L148" i="125"/>
  <c r="H148" i="125"/>
  <c r="J148" i="125"/>
  <c r="L24" i="3"/>
  <c r="J24" i="3"/>
  <c r="K24" i="3"/>
  <c r="H24" i="3"/>
  <c r="I24" i="3"/>
  <c r="F24" i="3"/>
  <c r="G24" i="3"/>
  <c r="D24" i="3"/>
  <c r="E24" i="3"/>
  <c r="C24" i="3"/>
  <c r="C12" i="34"/>
  <c r="H33" i="2"/>
  <c r="C123" i="2"/>
  <c r="D82" i="2" s="1"/>
  <c r="H48" i="2"/>
  <c r="H49" i="2" s="1"/>
  <c r="C124" i="2"/>
  <c r="C125" i="2"/>
  <c r="D74" i="2"/>
  <c r="C12" i="3" s="1"/>
  <c r="G38" i="3" s="1"/>
  <c r="C183" i="2"/>
  <c r="J43" i="3"/>
  <c r="K131" i="34"/>
  <c r="C17" i="36"/>
  <c r="C9" i="34"/>
  <c r="N25" i="34" s="1"/>
  <c r="G124" i="34"/>
  <c r="L124" i="34" s="1"/>
  <c r="L121" i="34"/>
  <c r="G122" i="34"/>
  <c r="L122" i="34" s="1"/>
  <c r="G123" i="34"/>
  <c r="J123" i="34" s="1"/>
  <c r="G125" i="34"/>
  <c r="J125" i="34" s="1"/>
  <c r="H70" i="2" l="1"/>
  <c r="N134" i="2" s="1"/>
  <c r="G149" i="136"/>
  <c r="I150" i="136"/>
  <c r="L148" i="136"/>
  <c r="H148" i="136"/>
  <c r="J148" i="136"/>
  <c r="L150" i="135"/>
  <c r="H150" i="135"/>
  <c r="D81" i="135" s="1"/>
  <c r="E16" i="36" s="1"/>
  <c r="J150" i="135"/>
  <c r="G151" i="135"/>
  <c r="I152" i="135"/>
  <c r="G150" i="134"/>
  <c r="I151" i="134"/>
  <c r="L149" i="134"/>
  <c r="H149" i="134"/>
  <c r="J149" i="134"/>
  <c r="G150" i="132"/>
  <c r="I151" i="132"/>
  <c r="L149" i="132"/>
  <c r="H149" i="132"/>
  <c r="J149" i="132"/>
  <c r="L149" i="131"/>
  <c r="H149" i="131"/>
  <c r="J149" i="131"/>
  <c r="G150" i="131"/>
  <c r="I151" i="131"/>
  <c r="G150" i="130"/>
  <c r="I151" i="130"/>
  <c r="L149" i="130"/>
  <c r="H149" i="130"/>
  <c r="J149" i="130"/>
  <c r="J147" i="129"/>
  <c r="L147" i="129"/>
  <c r="H147" i="129"/>
  <c r="G148" i="129"/>
  <c r="I149" i="129"/>
  <c r="L148" i="128"/>
  <c r="H148" i="128"/>
  <c r="J148" i="128"/>
  <c r="G149" i="128"/>
  <c r="I150" i="128"/>
  <c r="G150" i="125"/>
  <c r="I151" i="125"/>
  <c r="L149" i="125"/>
  <c r="H149" i="125"/>
  <c r="J149" i="125"/>
  <c r="N126" i="2"/>
  <c r="C184" i="2"/>
  <c r="C188" i="2" s="1"/>
  <c r="D77" i="2" s="1"/>
  <c r="C19" i="3" s="1"/>
  <c r="K132" i="34"/>
  <c r="K133" i="34" s="1"/>
  <c r="H122" i="34"/>
  <c r="J121" i="34"/>
  <c r="J124" i="34"/>
  <c r="J122" i="34"/>
  <c r="L125" i="34"/>
  <c r="L123" i="34"/>
  <c r="H125" i="34"/>
  <c r="H123" i="34"/>
  <c r="H124" i="34"/>
  <c r="G126" i="34"/>
  <c r="D86" i="135" l="1"/>
  <c r="E17" i="22" s="1"/>
  <c r="D92" i="135"/>
  <c r="G150" i="136"/>
  <c r="I151" i="136"/>
  <c r="L149" i="136"/>
  <c r="H149" i="136"/>
  <c r="J149" i="136"/>
  <c r="J151" i="135"/>
  <c r="L151" i="135"/>
  <c r="H151" i="135"/>
  <c r="G152" i="135"/>
  <c r="I153" i="135"/>
  <c r="G151" i="134"/>
  <c r="I152" i="134"/>
  <c r="L150" i="134"/>
  <c r="H150" i="134"/>
  <c r="J150" i="134"/>
  <c r="G151" i="132"/>
  <c r="I152" i="132"/>
  <c r="L150" i="132"/>
  <c r="H150" i="132"/>
  <c r="J150" i="132"/>
  <c r="G151" i="131"/>
  <c r="I152" i="131"/>
  <c r="L150" i="131"/>
  <c r="H150" i="131"/>
  <c r="J150" i="131"/>
  <c r="G151" i="130"/>
  <c r="I152" i="130"/>
  <c r="L150" i="130"/>
  <c r="H150" i="130"/>
  <c r="J150" i="130"/>
  <c r="G149" i="129"/>
  <c r="I150" i="129"/>
  <c r="L148" i="129"/>
  <c r="H148" i="129"/>
  <c r="J148" i="129"/>
  <c r="G150" i="128"/>
  <c r="I151" i="128"/>
  <c r="L149" i="128"/>
  <c r="H149" i="128"/>
  <c r="J149" i="128"/>
  <c r="L150" i="125"/>
  <c r="H150" i="125"/>
  <c r="J150" i="125"/>
  <c r="G151" i="125"/>
  <c r="I152" i="125"/>
  <c r="K134" i="34"/>
  <c r="L123" i="2"/>
  <c r="D91" i="2"/>
  <c r="D92" i="2" s="1"/>
  <c r="C10" i="114" s="1"/>
  <c r="C12" i="114" s="1"/>
  <c r="D87" i="2"/>
  <c r="L126" i="34"/>
  <c r="J126" i="34"/>
  <c r="H126" i="34"/>
  <c r="G151" i="136" l="1"/>
  <c r="I152" i="136"/>
  <c r="L150" i="136"/>
  <c r="H150" i="136"/>
  <c r="D81" i="136" s="1"/>
  <c r="D16" i="36" s="1"/>
  <c r="J150" i="136"/>
  <c r="G153" i="135"/>
  <c r="I154" i="135"/>
  <c r="L152" i="135"/>
  <c r="H152" i="135"/>
  <c r="J152" i="135"/>
  <c r="G152" i="134"/>
  <c r="I153" i="134"/>
  <c r="J151" i="134"/>
  <c r="L151" i="134"/>
  <c r="H151" i="134"/>
  <c r="G152" i="132"/>
  <c r="I153" i="132"/>
  <c r="J151" i="132"/>
  <c r="L151" i="132"/>
  <c r="H151" i="132"/>
  <c r="G152" i="131"/>
  <c r="I153" i="131"/>
  <c r="J151" i="131"/>
  <c r="L151" i="131"/>
  <c r="H151" i="131"/>
  <c r="G152" i="130"/>
  <c r="I153" i="130"/>
  <c r="J151" i="130"/>
  <c r="L151" i="130"/>
  <c r="H151" i="130"/>
  <c r="G150" i="129"/>
  <c r="I151" i="129"/>
  <c r="L149" i="129"/>
  <c r="H149" i="129"/>
  <c r="J149" i="129"/>
  <c r="G151" i="128"/>
  <c r="I152" i="128"/>
  <c r="L150" i="128"/>
  <c r="H150" i="128"/>
  <c r="J150" i="128"/>
  <c r="J151" i="125"/>
  <c r="L151" i="125"/>
  <c r="H151" i="125"/>
  <c r="G152" i="125"/>
  <c r="I153" i="125"/>
  <c r="D83" i="2"/>
  <c r="C14" i="3"/>
  <c r="C12" i="36" s="1"/>
  <c r="D88" i="2"/>
  <c r="C9" i="22"/>
  <c r="K135" i="34"/>
  <c r="L124" i="2"/>
  <c r="L125" i="2"/>
  <c r="L126" i="2"/>
  <c r="D86" i="136" l="1"/>
  <c r="D17" i="22" s="1"/>
  <c r="D92" i="136"/>
  <c r="G152" i="136"/>
  <c r="I153" i="136"/>
  <c r="J151" i="136"/>
  <c r="L151" i="136"/>
  <c r="H151" i="136"/>
  <c r="L153" i="135"/>
  <c r="H153" i="135"/>
  <c r="J153" i="135"/>
  <c r="G154" i="135"/>
  <c r="I155" i="135"/>
  <c r="G153" i="134"/>
  <c r="I154" i="134"/>
  <c r="L152" i="134"/>
  <c r="H152" i="134"/>
  <c r="J152" i="134"/>
  <c r="G153" i="132"/>
  <c r="I154" i="132"/>
  <c r="L152" i="132"/>
  <c r="H152" i="132"/>
  <c r="J152" i="132"/>
  <c r="G153" i="131"/>
  <c r="I154" i="131"/>
  <c r="L152" i="131"/>
  <c r="H152" i="131"/>
  <c r="J152" i="131"/>
  <c r="L152" i="130"/>
  <c r="H152" i="130"/>
  <c r="J152" i="130"/>
  <c r="G153" i="130"/>
  <c r="I154" i="130"/>
  <c r="G151" i="129"/>
  <c r="I152" i="129"/>
  <c r="L150" i="129"/>
  <c r="H150" i="129"/>
  <c r="J150" i="129"/>
  <c r="G152" i="128"/>
  <c r="I153" i="128"/>
  <c r="J151" i="128"/>
  <c r="L151" i="128"/>
  <c r="H151" i="128"/>
  <c r="L152" i="125"/>
  <c r="H152" i="125"/>
  <c r="J152" i="125"/>
  <c r="G153" i="125"/>
  <c r="I154" i="125"/>
  <c r="C11" i="22"/>
  <c r="C14" i="22" s="1"/>
  <c r="K136" i="34"/>
  <c r="N124" i="2"/>
  <c r="N125" i="2" s="1"/>
  <c r="H123" i="2" s="1"/>
  <c r="G127" i="34"/>
  <c r="G128" i="34"/>
  <c r="G129" i="34"/>
  <c r="G130" i="34"/>
  <c r="G153" i="136" l="1"/>
  <c r="I154" i="136"/>
  <c r="L152" i="136"/>
  <c r="H152" i="136"/>
  <c r="J152" i="136"/>
  <c r="G155" i="135"/>
  <c r="I156" i="135"/>
  <c r="L154" i="135"/>
  <c r="H154" i="135"/>
  <c r="J154" i="135"/>
  <c r="G154" i="134"/>
  <c r="I155" i="134"/>
  <c r="L153" i="134"/>
  <c r="H153" i="134"/>
  <c r="J153" i="134"/>
  <c r="G154" i="132"/>
  <c r="I155" i="132"/>
  <c r="L153" i="132"/>
  <c r="H153" i="132"/>
  <c r="J153" i="132"/>
  <c r="G154" i="131"/>
  <c r="I155" i="131"/>
  <c r="L153" i="131"/>
  <c r="H153" i="131"/>
  <c r="J153" i="131"/>
  <c r="G154" i="130"/>
  <c r="I155" i="130"/>
  <c r="L153" i="130"/>
  <c r="H153" i="130"/>
  <c r="J153" i="130"/>
  <c r="G152" i="129"/>
  <c r="I153" i="129"/>
  <c r="J151" i="129"/>
  <c r="L151" i="129"/>
  <c r="H151" i="129"/>
  <c r="L152" i="128"/>
  <c r="H152" i="128"/>
  <c r="J152" i="128"/>
  <c r="G153" i="128"/>
  <c r="I154" i="128"/>
  <c r="G154" i="125"/>
  <c r="I155" i="125"/>
  <c r="L153" i="125"/>
  <c r="H153" i="125"/>
  <c r="J153" i="125"/>
  <c r="C10" i="22"/>
  <c r="K137" i="34"/>
  <c r="H129" i="2"/>
  <c r="D93" i="2" s="1"/>
  <c r="H128" i="2"/>
  <c r="D89" i="2" s="1"/>
  <c r="H127" i="2"/>
  <c r="D85" i="2" s="1"/>
  <c r="C15" i="3" s="1"/>
  <c r="C13" i="36" s="1"/>
  <c r="H129" i="34"/>
  <c r="J129" i="34"/>
  <c r="L129" i="34"/>
  <c r="J127" i="34"/>
  <c r="H127" i="34"/>
  <c r="L127" i="34"/>
  <c r="H130" i="34"/>
  <c r="L130" i="34"/>
  <c r="J130" i="34"/>
  <c r="H128" i="34"/>
  <c r="L128" i="34"/>
  <c r="J128" i="34"/>
  <c r="I131" i="34"/>
  <c r="I132" i="34" s="1"/>
  <c r="I133" i="34" s="1"/>
  <c r="G133" i="34" s="1"/>
  <c r="L153" i="136" l="1"/>
  <c r="H153" i="136"/>
  <c r="J153" i="136"/>
  <c r="G154" i="136"/>
  <c r="I155" i="136"/>
  <c r="G156" i="135"/>
  <c r="I157" i="135"/>
  <c r="J155" i="135"/>
  <c r="L155" i="135"/>
  <c r="H155" i="135"/>
  <c r="G155" i="134"/>
  <c r="I156" i="134"/>
  <c r="L154" i="134"/>
  <c r="H154" i="134"/>
  <c r="J154" i="134"/>
  <c r="G155" i="132"/>
  <c r="I156" i="132"/>
  <c r="L154" i="132"/>
  <c r="H154" i="132"/>
  <c r="J154" i="132"/>
  <c r="G155" i="131"/>
  <c r="I156" i="131"/>
  <c r="L154" i="131"/>
  <c r="H154" i="131"/>
  <c r="J154" i="131"/>
  <c r="G155" i="130"/>
  <c r="I156" i="130"/>
  <c r="L154" i="130"/>
  <c r="H154" i="130"/>
  <c r="J154" i="130"/>
  <c r="L152" i="129"/>
  <c r="H152" i="129"/>
  <c r="J152" i="129"/>
  <c r="G153" i="129"/>
  <c r="I154" i="129"/>
  <c r="G154" i="128"/>
  <c r="I155" i="128"/>
  <c r="L153" i="128"/>
  <c r="H153" i="128"/>
  <c r="J153" i="128"/>
  <c r="G155" i="125"/>
  <c r="I156" i="125"/>
  <c r="L154" i="125"/>
  <c r="H154" i="125"/>
  <c r="J154" i="125"/>
  <c r="C9" i="114"/>
  <c r="C11" i="114" s="1"/>
  <c r="C12" i="22"/>
  <c r="K138" i="34"/>
  <c r="I134" i="34"/>
  <c r="I135" i="34" s="1"/>
  <c r="I136" i="34" s="1"/>
  <c r="I137" i="34" s="1"/>
  <c r="I138" i="34" s="1"/>
  <c r="G138" i="34" s="1"/>
  <c r="H133" i="34"/>
  <c r="G132" i="34"/>
  <c r="G131" i="34"/>
  <c r="G155" i="136" l="1"/>
  <c r="I156" i="136"/>
  <c r="L154" i="136"/>
  <c r="H154" i="136"/>
  <c r="J154" i="136"/>
  <c r="L156" i="135"/>
  <c r="H156" i="135"/>
  <c r="J156" i="135"/>
  <c r="G157" i="135"/>
  <c r="I158" i="135"/>
  <c r="G156" i="134"/>
  <c r="I157" i="134"/>
  <c r="J155" i="134"/>
  <c r="L155" i="134"/>
  <c r="H155" i="134"/>
  <c r="G156" i="132"/>
  <c r="I157" i="132"/>
  <c r="J155" i="132"/>
  <c r="L155" i="132"/>
  <c r="H155" i="132"/>
  <c r="G156" i="131"/>
  <c r="I157" i="131"/>
  <c r="J155" i="131"/>
  <c r="L155" i="131"/>
  <c r="H155" i="131"/>
  <c r="G156" i="130"/>
  <c r="I157" i="130"/>
  <c r="J155" i="130"/>
  <c r="L155" i="130"/>
  <c r="H155" i="130"/>
  <c r="G154" i="129"/>
  <c r="I155" i="129"/>
  <c r="L153" i="129"/>
  <c r="H153" i="129"/>
  <c r="J153" i="129"/>
  <c r="L154" i="128"/>
  <c r="H154" i="128"/>
  <c r="J154" i="128"/>
  <c r="G155" i="128"/>
  <c r="I156" i="128"/>
  <c r="G156" i="125"/>
  <c r="I157" i="125"/>
  <c r="J155" i="125"/>
  <c r="L155" i="125"/>
  <c r="H155" i="125"/>
  <c r="C13" i="22"/>
  <c r="C23" i="22" s="1"/>
  <c r="K139" i="34"/>
  <c r="G136" i="34"/>
  <c r="L136" i="34" s="1"/>
  <c r="G135" i="34"/>
  <c r="H135" i="34" s="1"/>
  <c r="G134" i="34"/>
  <c r="H134" i="34" s="1"/>
  <c r="G137" i="34"/>
  <c r="J137" i="34" s="1"/>
  <c r="J133" i="34"/>
  <c r="L133" i="34"/>
  <c r="H138" i="34"/>
  <c r="L138" i="34"/>
  <c r="J138" i="34"/>
  <c r="H131" i="34"/>
  <c r="J131" i="34"/>
  <c r="L131" i="34"/>
  <c r="H132" i="34"/>
  <c r="L132" i="34"/>
  <c r="J132" i="34"/>
  <c r="I139" i="34"/>
  <c r="G156" i="136" l="1"/>
  <c r="I157" i="136"/>
  <c r="J155" i="136"/>
  <c r="L155" i="136"/>
  <c r="H155" i="136"/>
  <c r="G158" i="135"/>
  <c r="I159" i="135"/>
  <c r="L157" i="135"/>
  <c r="H157" i="135"/>
  <c r="J157" i="135"/>
  <c r="L156" i="134"/>
  <c r="H156" i="134"/>
  <c r="J156" i="134"/>
  <c r="G157" i="134"/>
  <c r="I158" i="134"/>
  <c r="G157" i="132"/>
  <c r="I158" i="132"/>
  <c r="L156" i="132"/>
  <c r="H156" i="132"/>
  <c r="J156" i="132"/>
  <c r="G157" i="131"/>
  <c r="I158" i="131"/>
  <c r="L156" i="131"/>
  <c r="H156" i="131"/>
  <c r="J156" i="131"/>
  <c r="G157" i="130"/>
  <c r="I158" i="130"/>
  <c r="L156" i="130"/>
  <c r="H156" i="130"/>
  <c r="J156" i="130"/>
  <c r="G155" i="129"/>
  <c r="I156" i="129"/>
  <c r="L154" i="129"/>
  <c r="H154" i="129"/>
  <c r="J154" i="129"/>
  <c r="G156" i="128"/>
  <c r="I157" i="128"/>
  <c r="J155" i="128"/>
  <c r="L155" i="128"/>
  <c r="H155" i="128"/>
  <c r="L156" i="125"/>
  <c r="H156" i="125"/>
  <c r="J156" i="125"/>
  <c r="G157" i="125"/>
  <c r="I158" i="125"/>
  <c r="H136" i="34"/>
  <c r="L134" i="34"/>
  <c r="J136" i="34"/>
  <c r="H137" i="34"/>
  <c r="J134" i="34"/>
  <c r="K140" i="34"/>
  <c r="J135" i="34"/>
  <c r="L137" i="34"/>
  <c r="L135" i="34"/>
  <c r="H13" i="22"/>
  <c r="H23" i="22" s="1"/>
  <c r="E13" i="22"/>
  <c r="E23" i="22" s="1"/>
  <c r="J13" i="22"/>
  <c r="J23" i="22" s="1"/>
  <c r="L13" i="22"/>
  <c r="L23" i="22" s="1"/>
  <c r="F13" i="22"/>
  <c r="F23" i="22" s="1"/>
  <c r="G13" i="22"/>
  <c r="G23" i="22" s="1"/>
  <c r="I13" i="22"/>
  <c r="I23" i="22" s="1"/>
  <c r="K13" i="22"/>
  <c r="K23" i="22" s="1"/>
  <c r="I140" i="34"/>
  <c r="G139" i="34"/>
  <c r="G157" i="136" l="1"/>
  <c r="I158" i="136"/>
  <c r="L156" i="136"/>
  <c r="H156" i="136"/>
  <c r="J156" i="136"/>
  <c r="G159" i="135"/>
  <c r="I160" i="135"/>
  <c r="L158" i="135"/>
  <c r="H158" i="135"/>
  <c r="J158" i="135"/>
  <c r="G158" i="134"/>
  <c r="I159" i="134"/>
  <c r="L157" i="134"/>
  <c r="H157" i="134"/>
  <c r="J157" i="134"/>
  <c r="G158" i="132"/>
  <c r="I159" i="132"/>
  <c r="L157" i="132"/>
  <c r="H157" i="132"/>
  <c r="J157" i="132"/>
  <c r="G158" i="131"/>
  <c r="I159" i="131"/>
  <c r="L157" i="131"/>
  <c r="H157" i="131"/>
  <c r="J157" i="131"/>
  <c r="L157" i="130"/>
  <c r="H157" i="130"/>
  <c r="J157" i="130"/>
  <c r="G158" i="130"/>
  <c r="I159" i="130"/>
  <c r="G156" i="129"/>
  <c r="I157" i="129"/>
  <c r="J155" i="129"/>
  <c r="L155" i="129"/>
  <c r="H155" i="129"/>
  <c r="G157" i="128"/>
  <c r="I158" i="128"/>
  <c r="L156" i="128"/>
  <c r="H156" i="128"/>
  <c r="J156" i="128"/>
  <c r="G158" i="125"/>
  <c r="I159" i="125"/>
  <c r="L157" i="125"/>
  <c r="H157" i="125"/>
  <c r="J157" i="125"/>
  <c r="K141" i="34"/>
  <c r="H139" i="34"/>
  <c r="J139" i="34"/>
  <c r="L139" i="34"/>
  <c r="I141" i="34"/>
  <c r="G140" i="34"/>
  <c r="L157" i="136" l="1"/>
  <c r="H157" i="136"/>
  <c r="J157" i="136"/>
  <c r="G158" i="136"/>
  <c r="I159" i="136"/>
  <c r="G160" i="135"/>
  <c r="I161" i="135"/>
  <c r="J159" i="135"/>
  <c r="L159" i="135"/>
  <c r="H159" i="135"/>
  <c r="G159" i="134"/>
  <c r="I160" i="134"/>
  <c r="L158" i="134"/>
  <c r="H158" i="134"/>
  <c r="J158" i="134"/>
  <c r="G159" i="132"/>
  <c r="I160" i="132"/>
  <c r="L158" i="132"/>
  <c r="H158" i="132"/>
  <c r="J158" i="132"/>
  <c r="G159" i="131"/>
  <c r="I160" i="131"/>
  <c r="L158" i="131"/>
  <c r="H158" i="131"/>
  <c r="J158" i="131"/>
  <c r="G159" i="130"/>
  <c r="I160" i="130"/>
  <c r="L158" i="130"/>
  <c r="H158" i="130"/>
  <c r="J158" i="130"/>
  <c r="L156" i="129"/>
  <c r="H156" i="129"/>
  <c r="J156" i="129"/>
  <c r="G157" i="129"/>
  <c r="I158" i="129"/>
  <c r="L157" i="128"/>
  <c r="H157" i="128"/>
  <c r="J157" i="128"/>
  <c r="G158" i="128"/>
  <c r="I159" i="128"/>
  <c r="G159" i="125"/>
  <c r="I160" i="125"/>
  <c r="L158" i="125"/>
  <c r="H158" i="125"/>
  <c r="J158" i="125"/>
  <c r="K142" i="34"/>
  <c r="H140" i="34"/>
  <c r="L140" i="34"/>
  <c r="J140" i="34"/>
  <c r="I142" i="34"/>
  <c r="G141" i="34"/>
  <c r="F1" i="34"/>
  <c r="G159" i="136" l="1"/>
  <c r="I160" i="136"/>
  <c r="L158" i="136"/>
  <c r="H158" i="136"/>
  <c r="J158" i="136"/>
  <c r="G161" i="135"/>
  <c r="I162" i="135"/>
  <c r="L160" i="135"/>
  <c r="H160" i="135"/>
  <c r="J160" i="135"/>
  <c r="G160" i="134"/>
  <c r="I161" i="134"/>
  <c r="J159" i="134"/>
  <c r="L159" i="134"/>
  <c r="H159" i="134"/>
  <c r="G160" i="132"/>
  <c r="I161" i="132"/>
  <c r="J159" i="132"/>
  <c r="L159" i="132"/>
  <c r="H159" i="132"/>
  <c r="G160" i="131"/>
  <c r="I161" i="131"/>
  <c r="J159" i="131"/>
  <c r="L159" i="131"/>
  <c r="H159" i="131"/>
  <c r="G160" i="130"/>
  <c r="I161" i="130"/>
  <c r="J159" i="130"/>
  <c r="L159" i="130"/>
  <c r="H159" i="130"/>
  <c r="G158" i="129"/>
  <c r="I159" i="129"/>
  <c r="L157" i="129"/>
  <c r="H157" i="129"/>
  <c r="J157" i="129"/>
  <c r="G159" i="128"/>
  <c r="I160" i="128"/>
  <c r="L158" i="128"/>
  <c r="H158" i="128"/>
  <c r="J158" i="128"/>
  <c r="G160" i="125"/>
  <c r="I161" i="125"/>
  <c r="J159" i="125"/>
  <c r="L159" i="125"/>
  <c r="H159" i="125"/>
  <c r="K143" i="34"/>
  <c r="H141" i="34"/>
  <c r="J141" i="34"/>
  <c r="L141" i="34"/>
  <c r="I143" i="34"/>
  <c r="G142" i="34"/>
  <c r="J159" i="136" l="1"/>
  <c r="L159" i="136"/>
  <c r="H159" i="136"/>
  <c r="G160" i="136"/>
  <c r="I161" i="136"/>
  <c r="L161" i="135"/>
  <c r="H161" i="135"/>
  <c r="J161" i="135"/>
  <c r="G162" i="135"/>
  <c r="I163" i="135"/>
  <c r="G161" i="134"/>
  <c r="I162" i="134"/>
  <c r="L160" i="134"/>
  <c r="H160" i="134"/>
  <c r="J160" i="134"/>
  <c r="G161" i="132"/>
  <c r="I162" i="132"/>
  <c r="L160" i="132"/>
  <c r="H160" i="132"/>
  <c r="J160" i="132"/>
  <c r="G161" i="131"/>
  <c r="I162" i="131"/>
  <c r="L160" i="131"/>
  <c r="H160" i="131"/>
  <c r="J160" i="131"/>
  <c r="G161" i="130"/>
  <c r="I162" i="130"/>
  <c r="L160" i="130"/>
  <c r="H160" i="130"/>
  <c r="J160" i="130"/>
  <c r="G159" i="129"/>
  <c r="I160" i="129"/>
  <c r="L158" i="129"/>
  <c r="H158" i="129"/>
  <c r="J158" i="129"/>
  <c r="G160" i="128"/>
  <c r="I161" i="128"/>
  <c r="J159" i="128"/>
  <c r="L159" i="128"/>
  <c r="H159" i="128"/>
  <c r="G161" i="125"/>
  <c r="I162" i="125"/>
  <c r="L160" i="125"/>
  <c r="H160" i="125"/>
  <c r="J160" i="125"/>
  <c r="K144" i="34"/>
  <c r="H142" i="34"/>
  <c r="L142" i="34"/>
  <c r="J142" i="34"/>
  <c r="I144" i="34"/>
  <c r="G143" i="34"/>
  <c r="G161" i="136" l="1"/>
  <c r="I162" i="136"/>
  <c r="L160" i="136"/>
  <c r="H160" i="136"/>
  <c r="J160" i="136"/>
  <c r="L162" i="135"/>
  <c r="H162" i="135"/>
  <c r="J162" i="135"/>
  <c r="G163" i="135"/>
  <c r="I164" i="135"/>
  <c r="L161" i="134"/>
  <c r="H161" i="134"/>
  <c r="J161" i="134"/>
  <c r="G162" i="134"/>
  <c r="I163" i="134"/>
  <c r="G162" i="132"/>
  <c r="I163" i="132"/>
  <c r="L161" i="132"/>
  <c r="H161" i="132"/>
  <c r="J161" i="132"/>
  <c r="G162" i="131"/>
  <c r="I163" i="131"/>
  <c r="L161" i="131"/>
  <c r="H161" i="131"/>
  <c r="J161" i="131"/>
  <c r="G162" i="130"/>
  <c r="I163" i="130"/>
  <c r="L161" i="130"/>
  <c r="H161" i="130"/>
  <c r="J161" i="130"/>
  <c r="G160" i="129"/>
  <c r="I161" i="129"/>
  <c r="J159" i="129"/>
  <c r="L159" i="129"/>
  <c r="H159" i="129"/>
  <c r="G161" i="128"/>
  <c r="I162" i="128"/>
  <c r="L160" i="128"/>
  <c r="H160" i="128"/>
  <c r="J160" i="128"/>
  <c r="G162" i="125"/>
  <c r="I163" i="125"/>
  <c r="L161" i="125"/>
  <c r="H161" i="125"/>
  <c r="J161" i="125"/>
  <c r="K145" i="34"/>
  <c r="H143" i="34"/>
  <c r="J143" i="34"/>
  <c r="L143" i="34"/>
  <c r="I145" i="34"/>
  <c r="G144" i="34"/>
  <c r="G162" i="136" l="1"/>
  <c r="I163" i="136"/>
  <c r="L161" i="136"/>
  <c r="H161" i="136"/>
  <c r="J161" i="136"/>
  <c r="J163" i="135"/>
  <c r="L163" i="135"/>
  <c r="H163" i="135"/>
  <c r="G164" i="135"/>
  <c r="I165" i="135"/>
  <c r="G163" i="134"/>
  <c r="I164" i="134"/>
  <c r="L162" i="134"/>
  <c r="H162" i="134"/>
  <c r="J162" i="134"/>
  <c r="G163" i="132"/>
  <c r="I164" i="132"/>
  <c r="L162" i="132"/>
  <c r="H162" i="132"/>
  <c r="J162" i="132"/>
  <c r="G163" i="131"/>
  <c r="I164" i="131"/>
  <c r="L162" i="131"/>
  <c r="H162" i="131"/>
  <c r="J162" i="131"/>
  <c r="G163" i="130"/>
  <c r="I164" i="130"/>
  <c r="L162" i="130"/>
  <c r="H162" i="130"/>
  <c r="J162" i="130"/>
  <c r="G161" i="129"/>
  <c r="I162" i="129"/>
  <c r="L160" i="129"/>
  <c r="H160" i="129"/>
  <c r="J160" i="129"/>
  <c r="G162" i="128"/>
  <c r="I163" i="128"/>
  <c r="L161" i="128"/>
  <c r="H161" i="128"/>
  <c r="J161" i="128"/>
  <c r="G163" i="125"/>
  <c r="I164" i="125"/>
  <c r="L162" i="125"/>
  <c r="H162" i="125"/>
  <c r="J162" i="125"/>
  <c r="K146" i="34"/>
  <c r="H144" i="34"/>
  <c r="L144" i="34"/>
  <c r="J144" i="34"/>
  <c r="I146" i="34"/>
  <c r="G145" i="34"/>
  <c r="E26" i="34"/>
  <c r="F26" i="34"/>
  <c r="G26" i="34"/>
  <c r="H26" i="34"/>
  <c r="I26" i="34"/>
  <c r="J26" i="34"/>
  <c r="K26" i="34"/>
  <c r="L26" i="34"/>
  <c r="M26" i="34"/>
  <c r="D26" i="34"/>
  <c r="L162" i="136" l="1"/>
  <c r="H162" i="136"/>
  <c r="J162" i="136"/>
  <c r="G163" i="136"/>
  <c r="I164" i="136"/>
  <c r="L164" i="135"/>
  <c r="H164" i="135"/>
  <c r="J164" i="135"/>
  <c r="G165" i="135"/>
  <c r="I166" i="135"/>
  <c r="G164" i="134"/>
  <c r="I165" i="134"/>
  <c r="J163" i="134"/>
  <c r="L163" i="134"/>
  <c r="H163" i="134"/>
  <c r="G164" i="132"/>
  <c r="I165" i="132"/>
  <c r="J163" i="132"/>
  <c r="L163" i="132"/>
  <c r="H163" i="132"/>
  <c r="G164" i="131"/>
  <c r="I165" i="131"/>
  <c r="J163" i="131"/>
  <c r="L163" i="131"/>
  <c r="H163" i="131"/>
  <c r="G164" i="130"/>
  <c r="I165" i="130"/>
  <c r="J163" i="130"/>
  <c r="L163" i="130"/>
  <c r="H163" i="130"/>
  <c r="L161" i="129"/>
  <c r="H161" i="129"/>
  <c r="J161" i="129"/>
  <c r="G162" i="129"/>
  <c r="I163" i="129"/>
  <c r="G163" i="128"/>
  <c r="I164" i="128"/>
  <c r="L162" i="128"/>
  <c r="H162" i="128"/>
  <c r="J162" i="128"/>
  <c r="G164" i="125"/>
  <c r="I165" i="125"/>
  <c r="J163" i="125"/>
  <c r="L163" i="125"/>
  <c r="H163" i="125"/>
  <c r="K69" i="34"/>
  <c r="K59" i="34"/>
  <c r="L59" i="34" s="1"/>
  <c r="K49" i="34"/>
  <c r="L49" i="34" s="1"/>
  <c r="K147" i="34"/>
  <c r="H145" i="34"/>
  <c r="J145" i="34"/>
  <c r="L145" i="34"/>
  <c r="I147" i="34"/>
  <c r="G146" i="34"/>
  <c r="J163" i="136" l="1"/>
  <c r="L163" i="136"/>
  <c r="H163" i="136"/>
  <c r="G164" i="136"/>
  <c r="I165" i="136"/>
  <c r="G166" i="135"/>
  <c r="I167" i="135"/>
  <c r="L165" i="135"/>
  <c r="H165" i="135"/>
  <c r="J165" i="135"/>
  <c r="G165" i="134"/>
  <c r="I166" i="134"/>
  <c r="L164" i="134"/>
  <c r="H164" i="134"/>
  <c r="J164" i="134"/>
  <c r="G165" i="132"/>
  <c r="I166" i="132"/>
  <c r="L164" i="132"/>
  <c r="H164" i="132"/>
  <c r="J164" i="132"/>
  <c r="G165" i="131"/>
  <c r="I166" i="131"/>
  <c r="L164" i="131"/>
  <c r="H164" i="131"/>
  <c r="J164" i="131"/>
  <c r="G165" i="130"/>
  <c r="I166" i="130"/>
  <c r="L164" i="130"/>
  <c r="H164" i="130"/>
  <c r="J164" i="130"/>
  <c r="L162" i="129"/>
  <c r="H162" i="129"/>
  <c r="J162" i="129"/>
  <c r="G163" i="129"/>
  <c r="I164" i="129"/>
  <c r="J163" i="128"/>
  <c r="L163" i="128"/>
  <c r="H163" i="128"/>
  <c r="G164" i="128"/>
  <c r="I165" i="128"/>
  <c r="G165" i="125"/>
  <c r="I166" i="125"/>
  <c r="L164" i="125"/>
  <c r="H164" i="125"/>
  <c r="J164" i="125"/>
  <c r="L69" i="34"/>
  <c r="D74" i="34" s="1"/>
  <c r="K148" i="34"/>
  <c r="H146" i="34"/>
  <c r="L146" i="34"/>
  <c r="J146" i="34"/>
  <c r="I148" i="34"/>
  <c r="G147" i="34"/>
  <c r="L164" i="136" l="1"/>
  <c r="H164" i="136"/>
  <c r="J164" i="136"/>
  <c r="G165" i="136"/>
  <c r="I166" i="136"/>
  <c r="L166" i="135"/>
  <c r="H166" i="135"/>
  <c r="J166" i="135"/>
  <c r="G167" i="135"/>
  <c r="I168" i="135"/>
  <c r="L165" i="134"/>
  <c r="H165" i="134"/>
  <c r="J165" i="134"/>
  <c r="G166" i="134"/>
  <c r="I167" i="134"/>
  <c r="G166" i="132"/>
  <c r="I167" i="132"/>
  <c r="L165" i="132"/>
  <c r="H165" i="132"/>
  <c r="J165" i="132"/>
  <c r="G166" i="131"/>
  <c r="I167" i="131"/>
  <c r="L165" i="131"/>
  <c r="H165" i="131"/>
  <c r="J165" i="131"/>
  <c r="G166" i="130"/>
  <c r="I167" i="130"/>
  <c r="L165" i="130"/>
  <c r="H165" i="130"/>
  <c r="J165" i="130"/>
  <c r="G164" i="129"/>
  <c r="I165" i="129"/>
  <c r="J163" i="129"/>
  <c r="L163" i="129"/>
  <c r="H163" i="129"/>
  <c r="L164" i="128"/>
  <c r="H164" i="128"/>
  <c r="J164" i="128"/>
  <c r="G165" i="128"/>
  <c r="I166" i="128"/>
  <c r="G166" i="125"/>
  <c r="I167" i="125"/>
  <c r="L165" i="125"/>
  <c r="H165" i="125"/>
  <c r="J165" i="125"/>
  <c r="K149" i="34"/>
  <c r="H147" i="34"/>
  <c r="J147" i="34"/>
  <c r="L147" i="34"/>
  <c r="I149" i="34"/>
  <c r="G148" i="34"/>
  <c r="G166" i="136" l="1"/>
  <c r="I167" i="136"/>
  <c r="L165" i="136"/>
  <c r="H165" i="136"/>
  <c r="J165" i="136"/>
  <c r="I169" i="135"/>
  <c r="G168" i="135"/>
  <c r="J167" i="135"/>
  <c r="L167" i="135"/>
  <c r="H167" i="135"/>
  <c r="G167" i="134"/>
  <c r="I168" i="134"/>
  <c r="L166" i="134"/>
  <c r="H166" i="134"/>
  <c r="J166" i="134"/>
  <c r="G167" i="132"/>
  <c r="I168" i="132"/>
  <c r="L166" i="132"/>
  <c r="H166" i="132"/>
  <c r="J166" i="132"/>
  <c r="G167" i="131"/>
  <c r="I168" i="131"/>
  <c r="L166" i="131"/>
  <c r="H166" i="131"/>
  <c r="J166" i="131"/>
  <c r="G167" i="130"/>
  <c r="I168" i="130"/>
  <c r="L166" i="130"/>
  <c r="H166" i="130"/>
  <c r="J166" i="130"/>
  <c r="L164" i="129"/>
  <c r="H164" i="129"/>
  <c r="J164" i="129"/>
  <c r="G165" i="129"/>
  <c r="I166" i="129"/>
  <c r="G166" i="128"/>
  <c r="I167" i="128"/>
  <c r="L165" i="128"/>
  <c r="H165" i="128"/>
  <c r="J165" i="128"/>
  <c r="L166" i="125"/>
  <c r="H166" i="125"/>
  <c r="J166" i="125"/>
  <c r="G167" i="125"/>
  <c r="I168" i="125"/>
  <c r="K150" i="34"/>
  <c r="H148" i="34"/>
  <c r="L148" i="34"/>
  <c r="J148" i="34"/>
  <c r="I150" i="34"/>
  <c r="G149" i="34"/>
  <c r="L166" i="136" l="1"/>
  <c r="H166" i="136"/>
  <c r="J166" i="136"/>
  <c r="G167" i="136"/>
  <c r="I168" i="136"/>
  <c r="L168" i="135"/>
  <c r="H168" i="135"/>
  <c r="J168" i="135"/>
  <c r="I170" i="135"/>
  <c r="G169" i="135"/>
  <c r="I169" i="134"/>
  <c r="G168" i="134"/>
  <c r="J167" i="134"/>
  <c r="L167" i="134"/>
  <c r="H167" i="134"/>
  <c r="I169" i="132"/>
  <c r="G168" i="132"/>
  <c r="J167" i="132"/>
  <c r="L167" i="132"/>
  <c r="H167" i="132"/>
  <c r="I169" i="131"/>
  <c r="G168" i="131"/>
  <c r="J167" i="131"/>
  <c r="L167" i="131"/>
  <c r="H167" i="131"/>
  <c r="I169" i="130"/>
  <c r="G168" i="130"/>
  <c r="J167" i="130"/>
  <c r="L167" i="130"/>
  <c r="H167" i="130"/>
  <c r="G166" i="129"/>
  <c r="I167" i="129"/>
  <c r="L165" i="129"/>
  <c r="H165" i="129"/>
  <c r="J165" i="129"/>
  <c r="G167" i="128"/>
  <c r="I168" i="128"/>
  <c r="L166" i="128"/>
  <c r="H166" i="128"/>
  <c r="J166" i="128"/>
  <c r="I169" i="125"/>
  <c r="G168" i="125"/>
  <c r="J167" i="125"/>
  <c r="L167" i="125"/>
  <c r="H167" i="125"/>
  <c r="K151" i="34"/>
  <c r="H149" i="34"/>
  <c r="J149" i="34"/>
  <c r="L149" i="34"/>
  <c r="I151" i="34"/>
  <c r="G150" i="34"/>
  <c r="J47" i="3"/>
  <c r="I169" i="136" l="1"/>
  <c r="G168" i="136"/>
  <c r="J167" i="136"/>
  <c r="L167" i="136"/>
  <c r="H167" i="136"/>
  <c r="L169" i="135"/>
  <c r="H169" i="135"/>
  <c r="J169" i="135"/>
  <c r="I171" i="135"/>
  <c r="G170" i="135"/>
  <c r="L168" i="134"/>
  <c r="H168" i="134"/>
  <c r="J168" i="134"/>
  <c r="I170" i="134"/>
  <c r="G169" i="134"/>
  <c r="L168" i="132"/>
  <c r="H168" i="132"/>
  <c r="J168" i="132"/>
  <c r="I170" i="132"/>
  <c r="G169" i="132"/>
  <c r="L168" i="131"/>
  <c r="H168" i="131"/>
  <c r="J168" i="131"/>
  <c r="I170" i="131"/>
  <c r="G169" i="131"/>
  <c r="L168" i="130"/>
  <c r="H168" i="130"/>
  <c r="J168" i="130"/>
  <c r="I170" i="130"/>
  <c r="G169" i="130"/>
  <c r="G167" i="129"/>
  <c r="I168" i="129"/>
  <c r="L166" i="129"/>
  <c r="H166" i="129"/>
  <c r="J166" i="129"/>
  <c r="I169" i="128"/>
  <c r="G168" i="128"/>
  <c r="J167" i="128"/>
  <c r="L167" i="128"/>
  <c r="H167" i="128"/>
  <c r="L168" i="125"/>
  <c r="H168" i="125"/>
  <c r="J168" i="125"/>
  <c r="I170" i="125"/>
  <c r="G169" i="125"/>
  <c r="K152" i="34"/>
  <c r="H150" i="34"/>
  <c r="L150" i="34"/>
  <c r="J150" i="34"/>
  <c r="I152" i="34"/>
  <c r="G151" i="34"/>
  <c r="F1" i="36"/>
  <c r="I170" i="136" l="1"/>
  <c r="G169" i="136"/>
  <c r="L168" i="136"/>
  <c r="H168" i="136"/>
  <c r="J168" i="136"/>
  <c r="J170" i="135"/>
  <c r="L170" i="135"/>
  <c r="H170" i="135"/>
  <c r="G171" i="135"/>
  <c r="I172" i="135"/>
  <c r="I171" i="134"/>
  <c r="G170" i="134"/>
  <c r="L169" i="134"/>
  <c r="H169" i="134"/>
  <c r="J169" i="134"/>
  <c r="L169" i="132"/>
  <c r="H169" i="132"/>
  <c r="J169" i="132"/>
  <c r="I171" i="132"/>
  <c r="G170" i="132"/>
  <c r="L169" i="131"/>
  <c r="H169" i="131"/>
  <c r="J169" i="131"/>
  <c r="I171" i="131"/>
  <c r="G170" i="131"/>
  <c r="I171" i="130"/>
  <c r="G170" i="130"/>
  <c r="L169" i="130"/>
  <c r="H169" i="130"/>
  <c r="J169" i="130"/>
  <c r="I169" i="129"/>
  <c r="G168" i="129"/>
  <c r="J167" i="129"/>
  <c r="L167" i="129"/>
  <c r="H167" i="129"/>
  <c r="L168" i="128"/>
  <c r="H168" i="128"/>
  <c r="J168" i="128"/>
  <c r="I170" i="128"/>
  <c r="G169" i="128"/>
  <c r="L169" i="125"/>
  <c r="H169" i="125"/>
  <c r="J169" i="125"/>
  <c r="I171" i="125"/>
  <c r="G170" i="125"/>
  <c r="K153" i="34"/>
  <c r="H151" i="34"/>
  <c r="J151" i="34"/>
  <c r="L151" i="34"/>
  <c r="I153" i="34"/>
  <c r="G152" i="34"/>
  <c r="I171" i="136" l="1"/>
  <c r="G170" i="136"/>
  <c r="L169" i="136"/>
  <c r="H169" i="136"/>
  <c r="J169" i="136"/>
  <c r="I173" i="135"/>
  <c r="G172" i="135"/>
  <c r="J171" i="135"/>
  <c r="L171" i="135"/>
  <c r="H171" i="135"/>
  <c r="J170" i="134"/>
  <c r="L170" i="134"/>
  <c r="H170" i="134"/>
  <c r="G171" i="134"/>
  <c r="I172" i="134"/>
  <c r="J170" i="132"/>
  <c r="L170" i="132"/>
  <c r="H170" i="132"/>
  <c r="G171" i="132"/>
  <c r="I172" i="132"/>
  <c r="G171" i="131"/>
  <c r="I172" i="131"/>
  <c r="J170" i="131"/>
  <c r="L170" i="131"/>
  <c r="H170" i="131"/>
  <c r="J170" i="130"/>
  <c r="L170" i="130"/>
  <c r="H170" i="130"/>
  <c r="G171" i="130"/>
  <c r="I172" i="130"/>
  <c r="I170" i="129"/>
  <c r="G169" i="129"/>
  <c r="L168" i="129"/>
  <c r="H168" i="129"/>
  <c r="J168" i="129"/>
  <c r="L169" i="128"/>
  <c r="H169" i="128"/>
  <c r="J169" i="128"/>
  <c r="I171" i="128"/>
  <c r="G170" i="128"/>
  <c r="J170" i="125"/>
  <c r="L170" i="125"/>
  <c r="H170" i="125"/>
  <c r="G171" i="125"/>
  <c r="I172" i="125"/>
  <c r="K154" i="34"/>
  <c r="H152" i="34"/>
  <c r="L152" i="34"/>
  <c r="J152" i="34"/>
  <c r="I154" i="34"/>
  <c r="G153" i="34"/>
  <c r="J170" i="136" l="1"/>
  <c r="L170" i="136"/>
  <c r="H170" i="136"/>
  <c r="G171" i="136"/>
  <c r="I172" i="136"/>
  <c r="L172" i="135"/>
  <c r="H172" i="135"/>
  <c r="J172" i="135"/>
  <c r="I174" i="135"/>
  <c r="G173" i="135"/>
  <c r="J171" i="134"/>
  <c r="L171" i="134"/>
  <c r="H171" i="134"/>
  <c r="I173" i="134"/>
  <c r="G172" i="134"/>
  <c r="I173" i="132"/>
  <c r="G172" i="132"/>
  <c r="J171" i="132"/>
  <c r="L171" i="132"/>
  <c r="H171" i="132"/>
  <c r="I173" i="131"/>
  <c r="G172" i="131"/>
  <c r="J171" i="131"/>
  <c r="L171" i="131"/>
  <c r="H171" i="131"/>
  <c r="I173" i="130"/>
  <c r="G172" i="130"/>
  <c r="J171" i="130"/>
  <c r="L171" i="130"/>
  <c r="H171" i="130"/>
  <c r="I171" i="129"/>
  <c r="G170" i="129"/>
  <c r="L169" i="129"/>
  <c r="H169" i="129"/>
  <c r="J169" i="129"/>
  <c r="J170" i="128"/>
  <c r="L170" i="128"/>
  <c r="H170" i="128"/>
  <c r="G171" i="128"/>
  <c r="I172" i="128"/>
  <c r="I173" i="125"/>
  <c r="G172" i="125"/>
  <c r="J171" i="125"/>
  <c r="L171" i="125"/>
  <c r="H171" i="125"/>
  <c r="K155" i="34"/>
  <c r="H153" i="34"/>
  <c r="J153" i="34"/>
  <c r="L153" i="34"/>
  <c r="I155" i="34"/>
  <c r="G154" i="34"/>
  <c r="I173" i="136" l="1"/>
  <c r="G172" i="136"/>
  <c r="J171" i="136"/>
  <c r="L171" i="136"/>
  <c r="H171" i="136"/>
  <c r="L173" i="135"/>
  <c r="H173" i="135"/>
  <c r="J173" i="135"/>
  <c r="I175" i="135"/>
  <c r="G174" i="135"/>
  <c r="L172" i="134"/>
  <c r="H172" i="134"/>
  <c r="J172" i="134"/>
  <c r="I174" i="134"/>
  <c r="G173" i="134"/>
  <c r="L172" i="132"/>
  <c r="H172" i="132"/>
  <c r="J172" i="132"/>
  <c r="I174" i="132"/>
  <c r="G173" i="132"/>
  <c r="I174" i="131"/>
  <c r="G173" i="131"/>
  <c r="L172" i="131"/>
  <c r="H172" i="131"/>
  <c r="J172" i="131"/>
  <c r="L172" i="130"/>
  <c r="H172" i="130"/>
  <c r="J172" i="130"/>
  <c r="I174" i="130"/>
  <c r="G173" i="130"/>
  <c r="J170" i="129"/>
  <c r="L170" i="129"/>
  <c r="H170" i="129"/>
  <c r="G171" i="129"/>
  <c r="I172" i="129"/>
  <c r="J171" i="128"/>
  <c r="L171" i="128"/>
  <c r="H171" i="128"/>
  <c r="I173" i="128"/>
  <c r="G172" i="128"/>
  <c r="L172" i="125"/>
  <c r="H172" i="125"/>
  <c r="J172" i="125"/>
  <c r="I174" i="125"/>
  <c r="G173" i="125"/>
  <c r="K156" i="34"/>
  <c r="H154" i="34"/>
  <c r="L154" i="34"/>
  <c r="J154" i="34"/>
  <c r="I156" i="34"/>
  <c r="G155" i="34"/>
  <c r="I174" i="136" l="1"/>
  <c r="G173" i="136"/>
  <c r="L172" i="136"/>
  <c r="H172" i="136"/>
  <c r="J172" i="136"/>
  <c r="J174" i="135"/>
  <c r="L174" i="135"/>
  <c r="H174" i="135"/>
  <c r="G175" i="135"/>
  <c r="I176" i="135"/>
  <c r="L173" i="134"/>
  <c r="H173" i="134"/>
  <c r="J173" i="134"/>
  <c r="I175" i="134"/>
  <c r="G174" i="134"/>
  <c r="L173" i="132"/>
  <c r="H173" i="132"/>
  <c r="J173" i="132"/>
  <c r="I175" i="132"/>
  <c r="G174" i="132"/>
  <c r="L173" i="131"/>
  <c r="H173" i="131"/>
  <c r="J173" i="131"/>
  <c r="I175" i="131"/>
  <c r="G174" i="131"/>
  <c r="L173" i="130"/>
  <c r="H173" i="130"/>
  <c r="J173" i="130"/>
  <c r="I175" i="130"/>
  <c r="G174" i="130"/>
  <c r="I173" i="129"/>
  <c r="G172" i="129"/>
  <c r="J171" i="129"/>
  <c r="L171" i="129"/>
  <c r="H171" i="129"/>
  <c r="I174" i="128"/>
  <c r="G173" i="128"/>
  <c r="L172" i="128"/>
  <c r="H172" i="128"/>
  <c r="J172" i="128"/>
  <c r="L173" i="125"/>
  <c r="H173" i="125"/>
  <c r="J173" i="125"/>
  <c r="I175" i="125"/>
  <c r="G174" i="125"/>
  <c r="K157" i="34"/>
  <c r="H155" i="34"/>
  <c r="J155" i="34"/>
  <c r="L155" i="34"/>
  <c r="I157" i="34"/>
  <c r="G156" i="34"/>
  <c r="L173" i="136" l="1"/>
  <c r="H173" i="136"/>
  <c r="J173" i="136"/>
  <c r="I175" i="136"/>
  <c r="G174" i="136"/>
  <c r="I177" i="135"/>
  <c r="G176" i="135"/>
  <c r="J175" i="135"/>
  <c r="L175" i="135"/>
  <c r="H175" i="135"/>
  <c r="J174" i="134"/>
  <c r="L174" i="134"/>
  <c r="H174" i="134"/>
  <c r="G175" i="134"/>
  <c r="I176" i="134"/>
  <c r="J174" i="132"/>
  <c r="L174" i="132"/>
  <c r="H174" i="132"/>
  <c r="G175" i="132"/>
  <c r="I176" i="132"/>
  <c r="J174" i="131"/>
  <c r="L174" i="131"/>
  <c r="H174" i="131"/>
  <c r="G175" i="131"/>
  <c r="I176" i="131"/>
  <c r="J174" i="130"/>
  <c r="L174" i="130"/>
  <c r="H174" i="130"/>
  <c r="G175" i="130"/>
  <c r="I176" i="130"/>
  <c r="L172" i="129"/>
  <c r="H172" i="129"/>
  <c r="J172" i="129"/>
  <c r="I174" i="129"/>
  <c r="G173" i="129"/>
  <c r="L173" i="128"/>
  <c r="H173" i="128"/>
  <c r="J173" i="128"/>
  <c r="I175" i="128"/>
  <c r="G174" i="128"/>
  <c r="J174" i="125"/>
  <c r="L174" i="125"/>
  <c r="H174" i="125"/>
  <c r="G175" i="125"/>
  <c r="I176" i="125"/>
  <c r="K158" i="34"/>
  <c r="H156" i="34"/>
  <c r="L156" i="34"/>
  <c r="J156" i="34"/>
  <c r="I158" i="34"/>
  <c r="G157" i="34"/>
  <c r="J44" i="3"/>
  <c r="J45" i="3"/>
  <c r="J46" i="3"/>
  <c r="J48" i="3"/>
  <c r="J49" i="3"/>
  <c r="J50" i="3"/>
  <c r="J51" i="3"/>
  <c r="D52" i="3" l="1"/>
  <c r="D54" i="3" s="1"/>
  <c r="G175" i="136"/>
  <c r="I176" i="136"/>
  <c r="J174" i="136"/>
  <c r="L174" i="136"/>
  <c r="H174" i="136"/>
  <c r="I178" i="135"/>
  <c r="G177" i="135"/>
  <c r="L176" i="135"/>
  <c r="H176" i="135"/>
  <c r="J176" i="135"/>
  <c r="I177" i="134"/>
  <c r="G176" i="134"/>
  <c r="J175" i="134"/>
  <c r="L175" i="134"/>
  <c r="H175" i="134"/>
  <c r="I177" i="132"/>
  <c r="G176" i="132"/>
  <c r="J175" i="132"/>
  <c r="L175" i="132"/>
  <c r="H175" i="132"/>
  <c r="I177" i="131"/>
  <c r="G176" i="131"/>
  <c r="J175" i="131"/>
  <c r="L175" i="131"/>
  <c r="H175" i="131"/>
  <c r="I177" i="130"/>
  <c r="G176" i="130"/>
  <c r="J175" i="130"/>
  <c r="L175" i="130"/>
  <c r="H175" i="130"/>
  <c r="L173" i="129"/>
  <c r="H173" i="129"/>
  <c r="J173" i="129"/>
  <c r="I175" i="129"/>
  <c r="G174" i="129"/>
  <c r="J174" i="128"/>
  <c r="L174" i="128"/>
  <c r="H174" i="128"/>
  <c r="G175" i="128"/>
  <c r="I176" i="128"/>
  <c r="I177" i="125"/>
  <c r="G176" i="125"/>
  <c r="J175" i="125"/>
  <c r="L175" i="125"/>
  <c r="H175" i="125"/>
  <c r="D53" i="3"/>
  <c r="K159" i="34"/>
  <c r="H157" i="34"/>
  <c r="J157" i="34"/>
  <c r="L157" i="34"/>
  <c r="I159" i="34"/>
  <c r="G158" i="34"/>
  <c r="I177" i="136" l="1"/>
  <c r="G176" i="136"/>
  <c r="J175" i="136"/>
  <c r="L175" i="136"/>
  <c r="H175" i="136"/>
  <c r="I179" i="135"/>
  <c r="G178" i="135"/>
  <c r="L177" i="135"/>
  <c r="H177" i="135"/>
  <c r="J177" i="135"/>
  <c r="L176" i="134"/>
  <c r="H176" i="134"/>
  <c r="J176" i="134"/>
  <c r="I178" i="134"/>
  <c r="G177" i="134"/>
  <c r="L176" i="132"/>
  <c r="H176" i="132"/>
  <c r="J176" i="132"/>
  <c r="I178" i="132"/>
  <c r="G177" i="132"/>
  <c r="L176" i="131"/>
  <c r="H176" i="131"/>
  <c r="J176" i="131"/>
  <c r="I178" i="131"/>
  <c r="G177" i="131"/>
  <c r="L176" i="130"/>
  <c r="H176" i="130"/>
  <c r="J176" i="130"/>
  <c r="I178" i="130"/>
  <c r="G177" i="130"/>
  <c r="G175" i="129"/>
  <c r="I176" i="129"/>
  <c r="J174" i="129"/>
  <c r="L174" i="129"/>
  <c r="H174" i="129"/>
  <c r="I177" i="128"/>
  <c r="G176" i="128"/>
  <c r="J175" i="128"/>
  <c r="L175" i="128"/>
  <c r="H175" i="128"/>
  <c r="L176" i="125"/>
  <c r="H176" i="125"/>
  <c r="J176" i="125"/>
  <c r="I178" i="125"/>
  <c r="G177" i="125"/>
  <c r="K160" i="34"/>
  <c r="H158" i="34"/>
  <c r="L158" i="34"/>
  <c r="J158" i="34"/>
  <c r="I160" i="34"/>
  <c r="G159" i="34"/>
  <c r="I178" i="136" l="1"/>
  <c r="G177" i="136"/>
  <c r="L176" i="136"/>
  <c r="H176" i="136"/>
  <c r="J176" i="136"/>
  <c r="J178" i="135"/>
  <c r="L178" i="135"/>
  <c r="H178" i="135"/>
  <c r="G179" i="135"/>
  <c r="I180" i="135"/>
  <c r="L177" i="134"/>
  <c r="H177" i="134"/>
  <c r="J177" i="134"/>
  <c r="I179" i="134"/>
  <c r="G178" i="134"/>
  <c r="L177" i="132"/>
  <c r="H177" i="132"/>
  <c r="J177" i="132"/>
  <c r="I179" i="132"/>
  <c r="G178" i="132"/>
  <c r="L177" i="131"/>
  <c r="H177" i="131"/>
  <c r="J177" i="131"/>
  <c r="I179" i="131"/>
  <c r="G178" i="131"/>
  <c r="L177" i="130"/>
  <c r="H177" i="130"/>
  <c r="J177" i="130"/>
  <c r="I179" i="130"/>
  <c r="G178" i="130"/>
  <c r="I177" i="129"/>
  <c r="G176" i="129"/>
  <c r="J175" i="129"/>
  <c r="L175" i="129"/>
  <c r="H175" i="129"/>
  <c r="L176" i="128"/>
  <c r="H176" i="128"/>
  <c r="J176" i="128"/>
  <c r="I178" i="128"/>
  <c r="G177" i="128"/>
  <c r="I179" i="125"/>
  <c r="G178" i="125"/>
  <c r="L177" i="125"/>
  <c r="H177" i="125"/>
  <c r="J177" i="125"/>
  <c r="K161" i="34"/>
  <c r="H159" i="34"/>
  <c r="J159" i="34"/>
  <c r="L159" i="34"/>
  <c r="I161" i="34"/>
  <c r="G160" i="34"/>
  <c r="F1" i="3"/>
  <c r="I179" i="136" l="1"/>
  <c r="G178" i="136"/>
  <c r="L177" i="136"/>
  <c r="H177" i="136"/>
  <c r="J177" i="136"/>
  <c r="I181" i="135"/>
  <c r="G181" i="135" s="1"/>
  <c r="G180" i="135"/>
  <c r="J179" i="135"/>
  <c r="L179" i="135"/>
  <c r="H179" i="135"/>
  <c r="J178" i="134"/>
  <c r="L178" i="134"/>
  <c r="H178" i="134"/>
  <c r="G179" i="134"/>
  <c r="I180" i="134"/>
  <c r="J178" i="132"/>
  <c r="L178" i="132"/>
  <c r="H178" i="132"/>
  <c r="G179" i="132"/>
  <c r="I180" i="132"/>
  <c r="G179" i="131"/>
  <c r="I180" i="131"/>
  <c r="J178" i="131"/>
  <c r="L178" i="131"/>
  <c r="H178" i="131"/>
  <c r="J178" i="130"/>
  <c r="L178" i="130"/>
  <c r="H178" i="130"/>
  <c r="G179" i="130"/>
  <c r="I180" i="130"/>
  <c r="L176" i="129"/>
  <c r="H176" i="129"/>
  <c r="J176" i="129"/>
  <c r="I178" i="129"/>
  <c r="G177" i="129"/>
  <c r="L177" i="128"/>
  <c r="H177" i="128"/>
  <c r="J177" i="128"/>
  <c r="I179" i="128"/>
  <c r="G178" i="128"/>
  <c r="J178" i="125"/>
  <c r="L178" i="125"/>
  <c r="H178" i="125"/>
  <c r="G179" i="125"/>
  <c r="I180" i="125"/>
  <c r="K162" i="34"/>
  <c r="H160" i="34"/>
  <c r="L160" i="34"/>
  <c r="J160" i="34"/>
  <c r="I162" i="34"/>
  <c r="G161" i="34"/>
  <c r="J178" i="136" l="1"/>
  <c r="L178" i="136"/>
  <c r="H178" i="136"/>
  <c r="G179" i="136"/>
  <c r="I180" i="136"/>
  <c r="L181" i="135"/>
  <c r="H181" i="135"/>
  <c r="J181" i="135"/>
  <c r="L180" i="135"/>
  <c r="H180" i="135"/>
  <c r="J180" i="135"/>
  <c r="I181" i="134"/>
  <c r="G181" i="134" s="1"/>
  <c r="G180" i="134"/>
  <c r="J179" i="134"/>
  <c r="L179" i="134"/>
  <c r="H179" i="134"/>
  <c r="I181" i="132"/>
  <c r="G181" i="132" s="1"/>
  <c r="G180" i="132"/>
  <c r="J179" i="132"/>
  <c r="L179" i="132"/>
  <c r="H179" i="132"/>
  <c r="I181" i="131"/>
  <c r="G181" i="131" s="1"/>
  <c r="G180" i="131"/>
  <c r="J179" i="131"/>
  <c r="L179" i="131"/>
  <c r="H179" i="131"/>
  <c r="I181" i="130"/>
  <c r="G181" i="130" s="1"/>
  <c r="G180" i="130"/>
  <c r="J179" i="130"/>
  <c r="L179" i="130"/>
  <c r="H179" i="130"/>
  <c r="L177" i="129"/>
  <c r="H177" i="129"/>
  <c r="J177" i="129"/>
  <c r="I179" i="129"/>
  <c r="G178" i="129"/>
  <c r="J178" i="128"/>
  <c r="L178" i="128"/>
  <c r="H178" i="128"/>
  <c r="G179" i="128"/>
  <c r="I180" i="128"/>
  <c r="J179" i="125"/>
  <c r="L179" i="125"/>
  <c r="H179" i="125"/>
  <c r="I181" i="125"/>
  <c r="G181" i="125" s="1"/>
  <c r="G180" i="125"/>
  <c r="K163" i="34"/>
  <c r="H161" i="34"/>
  <c r="J161" i="34"/>
  <c r="L161" i="34"/>
  <c r="I163" i="34"/>
  <c r="G162" i="34"/>
  <c r="I181" i="136" l="1"/>
  <c r="G181" i="136" s="1"/>
  <c r="G180" i="136"/>
  <c r="J179" i="136"/>
  <c r="L179" i="136"/>
  <c r="H179" i="136"/>
  <c r="L180" i="134"/>
  <c r="H180" i="134"/>
  <c r="J180" i="134"/>
  <c r="L181" i="134"/>
  <c r="H181" i="134"/>
  <c r="J181" i="134"/>
  <c r="L180" i="132"/>
  <c r="H180" i="132"/>
  <c r="J180" i="132"/>
  <c r="L181" i="132"/>
  <c r="H181" i="132"/>
  <c r="J181" i="132"/>
  <c r="L180" i="131"/>
  <c r="H180" i="131"/>
  <c r="J180" i="131"/>
  <c r="L181" i="131"/>
  <c r="H181" i="131"/>
  <c r="J181" i="131"/>
  <c r="L180" i="130"/>
  <c r="H180" i="130"/>
  <c r="J180" i="130"/>
  <c r="L181" i="130"/>
  <c r="H181" i="130"/>
  <c r="J181" i="130"/>
  <c r="J178" i="129"/>
  <c r="L178" i="129"/>
  <c r="H178" i="129"/>
  <c r="G179" i="129"/>
  <c r="I180" i="129"/>
  <c r="I181" i="128"/>
  <c r="G181" i="128" s="1"/>
  <c r="G180" i="128"/>
  <c r="J179" i="128"/>
  <c r="L179" i="128"/>
  <c r="H179" i="128"/>
  <c r="L181" i="125"/>
  <c r="H181" i="125"/>
  <c r="J181" i="125"/>
  <c r="L180" i="125"/>
  <c r="H180" i="125"/>
  <c r="J180" i="125"/>
  <c r="K164" i="34"/>
  <c r="H162" i="34"/>
  <c r="L162" i="34"/>
  <c r="J162" i="34"/>
  <c r="I164" i="34"/>
  <c r="G163" i="34"/>
  <c r="I1" i="22"/>
  <c r="L40" i="3"/>
  <c r="K40" i="3"/>
  <c r="J40" i="3"/>
  <c r="I40" i="3"/>
  <c r="H40" i="3"/>
  <c r="G114" i="5"/>
  <c r="G115" i="5" s="1"/>
  <c r="G116" i="5" s="1"/>
  <c r="G117" i="5" s="1"/>
  <c r="G118" i="5" s="1"/>
  <c r="G119" i="5" s="1"/>
  <c r="G120" i="5" s="1"/>
  <c r="G121" i="5" s="1"/>
  <c r="G122" i="5" s="1"/>
  <c r="G123" i="5" s="1"/>
  <c r="G124" i="5" s="1"/>
  <c r="G125" i="5" s="1"/>
  <c r="G126" i="5" s="1"/>
  <c r="G127" i="5" s="1"/>
  <c r="G128" i="5" s="1"/>
  <c r="G129" i="5" s="1"/>
  <c r="G130" i="5" s="1"/>
  <c r="G131" i="5" s="1"/>
  <c r="E114" i="5"/>
  <c r="E115" i="5" s="1"/>
  <c r="E116" i="5" s="1"/>
  <c r="E117" i="5" s="1"/>
  <c r="E118" i="5" s="1"/>
  <c r="E119" i="5" s="1"/>
  <c r="E120" i="5" s="1"/>
  <c r="E121" i="5" s="1"/>
  <c r="E122" i="5" s="1"/>
  <c r="E123" i="5" s="1"/>
  <c r="E124" i="5" s="1"/>
  <c r="E125" i="5" s="1"/>
  <c r="E126" i="5" s="1"/>
  <c r="E127" i="5" s="1"/>
  <c r="E128" i="5" s="1"/>
  <c r="E129" i="5" s="1"/>
  <c r="E130" i="5" s="1"/>
  <c r="E131" i="5" s="1"/>
  <c r="E132" i="5" s="1"/>
  <c r="C115" i="5"/>
  <c r="C116" i="5" s="1"/>
  <c r="C117" i="5" s="1"/>
  <c r="C118" i="5" s="1"/>
  <c r="C119" i="5" s="1"/>
  <c r="C120" i="5" s="1"/>
  <c r="C121" i="5" s="1"/>
  <c r="C122" i="5" s="1"/>
  <c r="C123" i="5" s="1"/>
  <c r="C124" i="5" s="1"/>
  <c r="C125" i="5" s="1"/>
  <c r="C126" i="5" s="1"/>
  <c r="C127" i="5" s="1"/>
  <c r="C128" i="5" s="1"/>
  <c r="C129" i="5" s="1"/>
  <c r="C130" i="5" s="1"/>
  <c r="C131" i="5" s="1"/>
  <c r="C132" i="5" s="1"/>
  <c r="L181" i="136" l="1"/>
  <c r="H181" i="136"/>
  <c r="J181" i="136"/>
  <c r="L180" i="136"/>
  <c r="H180" i="136"/>
  <c r="J180" i="136"/>
  <c r="I181" i="129"/>
  <c r="G181" i="129" s="1"/>
  <c r="G180" i="129"/>
  <c r="J179" i="129"/>
  <c r="L179" i="129"/>
  <c r="H179" i="129"/>
  <c r="L181" i="128"/>
  <c r="H181" i="128"/>
  <c r="J181" i="128"/>
  <c r="L180" i="128"/>
  <c r="H180" i="128"/>
  <c r="J180" i="128"/>
  <c r="K165" i="34"/>
  <c r="H163" i="34"/>
  <c r="J163" i="34"/>
  <c r="L163" i="34"/>
  <c r="I165" i="34"/>
  <c r="G164" i="34"/>
  <c r="L180" i="129" l="1"/>
  <c r="H180" i="129"/>
  <c r="J180" i="129"/>
  <c r="L181" i="129"/>
  <c r="H181" i="129"/>
  <c r="J181" i="129"/>
  <c r="K166" i="34"/>
  <c r="H164" i="34"/>
  <c r="L164" i="34"/>
  <c r="J164" i="34"/>
  <c r="I166" i="34"/>
  <c r="G165" i="34"/>
  <c r="K167" i="34" l="1"/>
  <c r="H165" i="34"/>
  <c r="J165" i="34"/>
  <c r="L165" i="34"/>
  <c r="I167" i="34"/>
  <c r="G166" i="34"/>
  <c r="J31" i="3"/>
  <c r="J32" i="3"/>
  <c r="J30" i="3"/>
  <c r="G36" i="3" l="1"/>
  <c r="M36" i="3" s="1"/>
  <c r="K168" i="34"/>
  <c r="H166" i="34"/>
  <c r="L166" i="34"/>
  <c r="J166" i="34"/>
  <c r="I168" i="34"/>
  <c r="G167" i="34"/>
  <c r="C15" i="36" l="1"/>
  <c r="C27" i="22"/>
  <c r="K169" i="34"/>
  <c r="H167" i="34"/>
  <c r="J167" i="34"/>
  <c r="L167" i="34"/>
  <c r="I169" i="34"/>
  <c r="G168" i="34"/>
  <c r="C79" i="3"/>
  <c r="C80" i="3" s="1"/>
  <c r="G37" i="3" s="1"/>
  <c r="C82" i="3"/>
  <c r="C83" i="3" s="1"/>
  <c r="K170" i="34" l="1"/>
  <c r="H168" i="34"/>
  <c r="L168" i="34"/>
  <c r="J168" i="34"/>
  <c r="I170" i="34"/>
  <c r="G169" i="34"/>
  <c r="K171" i="34" l="1"/>
  <c r="H169" i="34"/>
  <c r="J169" i="34"/>
  <c r="L169" i="34"/>
  <c r="I171" i="34"/>
  <c r="G170" i="34"/>
  <c r="K172" i="34" l="1"/>
  <c r="H170" i="34"/>
  <c r="L170" i="34"/>
  <c r="J170" i="34"/>
  <c r="I172" i="34"/>
  <c r="G171" i="34"/>
  <c r="K173" i="34" l="1"/>
  <c r="H171" i="34"/>
  <c r="J171" i="34"/>
  <c r="L171" i="34"/>
  <c r="I173" i="34"/>
  <c r="G172" i="34"/>
  <c r="K174" i="34" l="1"/>
  <c r="H172" i="34"/>
  <c r="L172" i="34"/>
  <c r="J172" i="34"/>
  <c r="I174" i="34"/>
  <c r="G173" i="34"/>
  <c r="K175" i="34" l="1"/>
  <c r="H173" i="34"/>
  <c r="J173" i="34"/>
  <c r="L173" i="34"/>
  <c r="I175" i="34"/>
  <c r="G174" i="34"/>
  <c r="K176" i="34" l="1"/>
  <c r="H174" i="34"/>
  <c r="L174" i="34"/>
  <c r="J174" i="34"/>
  <c r="I176" i="34"/>
  <c r="G175" i="34"/>
  <c r="K177" i="34" l="1"/>
  <c r="H175" i="34"/>
  <c r="J175" i="34"/>
  <c r="L175" i="34"/>
  <c r="I177" i="34"/>
  <c r="G176" i="34"/>
  <c r="K178" i="34" l="1"/>
  <c r="H176" i="34"/>
  <c r="L176" i="34"/>
  <c r="J176" i="34"/>
  <c r="I178" i="34"/>
  <c r="G177" i="34"/>
  <c r="K179" i="34" l="1"/>
  <c r="H177" i="34"/>
  <c r="J177" i="34"/>
  <c r="L177" i="34"/>
  <c r="I179" i="34"/>
  <c r="G178" i="34"/>
  <c r="K180" i="34" l="1"/>
  <c r="H178" i="34"/>
  <c r="L178" i="34"/>
  <c r="J178" i="34"/>
  <c r="I180" i="34"/>
  <c r="G179" i="34"/>
  <c r="K181" i="34" l="1"/>
  <c r="H179" i="34"/>
  <c r="J179" i="34"/>
  <c r="L179" i="34"/>
  <c r="I181" i="34"/>
  <c r="G180" i="34"/>
  <c r="H180" i="34" l="1"/>
  <c r="L180" i="34"/>
  <c r="J180" i="34"/>
  <c r="G181" i="34"/>
  <c r="H181" i="34" l="1"/>
  <c r="J181" i="34"/>
  <c r="L181" i="34"/>
  <c r="G39" i="3" l="1"/>
  <c r="C130" i="2"/>
  <c r="C131" i="2" s="1"/>
  <c r="C132" i="2" l="1"/>
  <c r="H72" i="2"/>
  <c r="H82" i="2" s="1"/>
  <c r="C21" i="3" s="1"/>
  <c r="C133" i="2"/>
  <c r="C85" i="3"/>
  <c r="C86" i="3" s="1"/>
  <c r="G40" i="3" s="1"/>
  <c r="M40" i="3" s="1"/>
  <c r="C11" i="130" l="1"/>
  <c r="C11" i="129"/>
  <c r="C11" i="128"/>
  <c r="C11" i="132"/>
  <c r="C11" i="131"/>
  <c r="C11" i="125"/>
  <c r="C11" i="136"/>
  <c r="C11" i="134"/>
  <c r="C11" i="34"/>
  <c r="C11" i="135"/>
  <c r="H83" i="2"/>
  <c r="H73" i="2"/>
  <c r="L131" i="2" s="1"/>
  <c r="L133" i="2" s="1"/>
  <c r="H87" i="2"/>
  <c r="H88" i="2" s="1"/>
  <c r="D84" i="34" s="1"/>
  <c r="H91" i="2"/>
  <c r="H92" i="2" s="1"/>
  <c r="D84" i="2" l="1"/>
  <c r="C23" i="3" s="1"/>
  <c r="D79" i="34"/>
  <c r="D85" i="34"/>
  <c r="D86" i="34" s="1"/>
  <c r="L134" i="2"/>
  <c r="L132" i="2"/>
  <c r="D89" i="34"/>
  <c r="D90" i="34"/>
  <c r="D91" i="34" s="1"/>
  <c r="D80" i="34" l="1"/>
  <c r="C18" i="36" s="1"/>
  <c r="N53" i="34"/>
  <c r="C21" i="22"/>
  <c r="C24" i="22" s="1"/>
  <c r="N132" i="2"/>
  <c r="N133" i="2" s="1"/>
  <c r="H131" i="2" s="1"/>
  <c r="H137" i="2" s="1"/>
  <c r="H93" i="2" s="1"/>
  <c r="D94" i="2" s="1"/>
  <c r="C17" i="22"/>
  <c r="C28" i="22" s="1"/>
  <c r="C29" i="22" s="1"/>
  <c r="C19" i="22"/>
  <c r="C22" i="22" s="1"/>
  <c r="C16" i="114"/>
  <c r="N63" i="34" l="1"/>
  <c r="D54" i="34"/>
  <c r="H136" i="2"/>
  <c r="H89" i="2" s="1"/>
  <c r="H135" i="2"/>
  <c r="H85" i="2" s="1"/>
  <c r="C22" i="3" s="1"/>
  <c r="D92" i="34"/>
  <c r="L29" i="22"/>
  <c r="D29" i="22"/>
  <c r="G29" i="22"/>
  <c r="F29" i="22"/>
  <c r="I29" i="22"/>
  <c r="D81" i="34"/>
  <c r="H29" i="22"/>
  <c r="K29" i="22"/>
  <c r="J29" i="22"/>
  <c r="E29" i="22"/>
  <c r="K60" i="34" l="1"/>
  <c r="D64" i="34"/>
  <c r="K70" i="34"/>
  <c r="L70" i="34" s="1"/>
  <c r="K71" i="34" s="1"/>
  <c r="K50" i="34"/>
  <c r="L50" i="34" s="1"/>
  <c r="K51" i="34" s="1"/>
  <c r="L51" i="34" s="1"/>
  <c r="K52" i="34" s="1"/>
  <c r="L52" i="34" s="1"/>
  <c r="K53" i="34" s="1"/>
  <c r="L53" i="34" s="1"/>
  <c r="C16" i="36"/>
  <c r="C20" i="36" s="1"/>
  <c r="L71" i="34" l="1"/>
  <c r="K72" i="34" s="1"/>
  <c r="L60" i="34"/>
  <c r="K61" i="34" s="1"/>
  <c r="L61" i="34" s="1"/>
  <c r="K62" i="34" s="1"/>
  <c r="L62" i="34" s="1"/>
  <c r="K63" i="34" s="1"/>
  <c r="L63" i="34" s="1"/>
  <c r="M20" i="36"/>
  <c r="L72" i="34" l="1"/>
  <c r="K73" i="34" s="1"/>
  <c r="L73" i="34" s="1"/>
  <c r="K39" i="34"/>
  <c r="L39" i="34" l="1"/>
  <c r="K40" i="34" s="1"/>
  <c r="L40" i="34" l="1"/>
  <c r="K41" i="34" s="1"/>
  <c r="L41" i="34" s="1"/>
  <c r="K42" i="34" s="1"/>
  <c r="L42" i="34" s="1"/>
  <c r="K43" i="34" s="1"/>
  <c r="L43" i="34" s="1"/>
  <c r="D44" i="34"/>
  <c r="D77" i="34" l="1"/>
  <c r="C22" i="36" s="1"/>
  <c r="C23" i="36" s="1"/>
  <c r="C24" i="3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jsjaardema</author>
    <author>Wake County</author>
  </authors>
  <commentList>
    <comment ref="H9" authorId="0" shapeId="0" xr:uid="{00000000-0006-0000-0300-000001000000}">
      <text>
        <r>
          <rPr>
            <b/>
            <sz val="10"/>
            <color indexed="81"/>
            <rFont val="Tahoma"/>
            <family val="2"/>
          </rPr>
          <t>Does not match drainage area map</t>
        </r>
      </text>
    </comment>
    <comment ref="D70" authorId="1" shapeId="0" xr:uid="{00000000-0006-0000-0300-000002000000}">
      <text>
        <r>
          <rPr>
            <sz val="14"/>
            <color indexed="81"/>
            <rFont val="Arial"/>
            <family val="2"/>
          </rPr>
          <t>User may override Tc but must provide supporting calculations if spreadsheet calculations are not utilized</t>
        </r>
        <r>
          <rPr>
            <sz val="8"/>
            <color indexed="81"/>
            <rFont val="Tahoma"/>
            <family val="2"/>
          </rPr>
          <t xml:space="preserve">
</t>
        </r>
        <r>
          <rPr>
            <sz val="14"/>
            <color indexed="81"/>
            <rFont val="Tahoma"/>
            <family val="2"/>
          </rPr>
          <t>Ex: Tc should include offsite flow</t>
        </r>
      </text>
    </comment>
    <comment ref="B116" authorId="0" shapeId="0" xr:uid="{00000000-0006-0000-0300-000003000000}">
      <text>
        <r>
          <rPr>
            <b/>
            <sz val="10"/>
            <color indexed="81"/>
            <rFont val="Tahoma"/>
            <family val="2"/>
          </rPr>
          <t>10.8.09</t>
        </r>
        <r>
          <rPr>
            <sz val="10"/>
            <color indexed="81"/>
            <rFont val="Tahoma"/>
            <family val="2"/>
          </rPr>
          <t xml:space="preserve">
0.2 may change to 0.05 in the future due to additional reasearch</t>
        </r>
      </text>
    </comment>
    <comment ref="B169" authorId="0" shapeId="0" xr:uid="{00000000-0006-0000-0300-000004000000}">
      <text>
        <r>
          <rPr>
            <b/>
            <sz val="10"/>
            <color indexed="81"/>
            <rFont val="Tahoma"/>
            <family val="2"/>
          </rPr>
          <t xml:space="preserve">inches
</t>
        </r>
      </text>
    </comment>
    <comment ref="B170" authorId="0" shapeId="0" xr:uid="{00000000-0006-0000-0300-000005000000}">
      <text>
        <r>
          <rPr>
            <sz val="10"/>
            <color indexed="81"/>
            <rFont val="Tahoma"/>
            <family val="2"/>
          </rPr>
          <t xml:space="preserve">
acre-ft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jsjaardema</author>
    <author>Wake County</author>
  </authors>
  <commentList>
    <comment ref="H9" authorId="0" shapeId="0" xr:uid="{00000000-0006-0000-0400-000001000000}">
      <text>
        <r>
          <rPr>
            <b/>
            <sz val="10"/>
            <color indexed="81"/>
            <rFont val="Tahoma"/>
            <family val="2"/>
          </rPr>
          <t>Does not match drainage area map</t>
        </r>
      </text>
    </comment>
    <comment ref="D70" authorId="1" shapeId="0" xr:uid="{00000000-0006-0000-0400-000002000000}">
      <text>
        <r>
          <rPr>
            <sz val="14"/>
            <color indexed="81"/>
            <rFont val="Arial"/>
            <family val="2"/>
          </rPr>
          <t>User may override Tc but must provide supporting calculations if spreadsheet calculations are not utilized</t>
        </r>
        <r>
          <rPr>
            <sz val="8"/>
            <color indexed="81"/>
            <rFont val="Tahoma"/>
            <family val="2"/>
          </rPr>
          <t xml:space="preserve">
</t>
        </r>
        <r>
          <rPr>
            <sz val="14"/>
            <color indexed="81"/>
            <rFont val="Tahoma"/>
            <family val="2"/>
          </rPr>
          <t>Ex: Tc should include offsite flow</t>
        </r>
      </text>
    </comment>
    <comment ref="B116" authorId="0" shapeId="0" xr:uid="{00000000-0006-0000-0400-000003000000}">
      <text>
        <r>
          <rPr>
            <b/>
            <sz val="10"/>
            <color indexed="81"/>
            <rFont val="Tahoma"/>
            <family val="2"/>
          </rPr>
          <t>10.8.09</t>
        </r>
        <r>
          <rPr>
            <sz val="10"/>
            <color indexed="81"/>
            <rFont val="Tahoma"/>
            <family val="2"/>
          </rPr>
          <t xml:space="preserve">
0.2 may change to 0.05 in the future due to additional reasearch</t>
        </r>
      </text>
    </comment>
    <comment ref="B169" authorId="0" shapeId="0" xr:uid="{00000000-0006-0000-0400-000004000000}">
      <text>
        <r>
          <rPr>
            <b/>
            <sz val="10"/>
            <color indexed="81"/>
            <rFont val="Tahoma"/>
            <family val="2"/>
          </rPr>
          <t xml:space="preserve">inches
</t>
        </r>
      </text>
    </comment>
    <comment ref="B170" authorId="0" shapeId="0" xr:uid="{00000000-0006-0000-0400-000005000000}">
      <text>
        <r>
          <rPr>
            <sz val="10"/>
            <color indexed="81"/>
            <rFont val="Tahoma"/>
            <family val="2"/>
          </rPr>
          <t xml:space="preserve">
acre-ft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jsjaardema</author>
    <author>Wake County</author>
  </authors>
  <commentList>
    <comment ref="H9" authorId="0" shapeId="0" xr:uid="{00000000-0006-0000-0500-000001000000}">
      <text>
        <r>
          <rPr>
            <b/>
            <sz val="10"/>
            <color indexed="81"/>
            <rFont val="Tahoma"/>
            <family val="2"/>
          </rPr>
          <t>Does not match drainage area map</t>
        </r>
      </text>
    </comment>
    <comment ref="D70" authorId="1" shapeId="0" xr:uid="{00000000-0006-0000-0500-000002000000}">
      <text>
        <r>
          <rPr>
            <sz val="14"/>
            <color indexed="81"/>
            <rFont val="Arial"/>
            <family val="2"/>
          </rPr>
          <t>User may override Tc but must provide supporting calculations if spreadsheet calculations are not utilized</t>
        </r>
        <r>
          <rPr>
            <sz val="8"/>
            <color indexed="81"/>
            <rFont val="Tahoma"/>
            <family val="2"/>
          </rPr>
          <t xml:space="preserve">
</t>
        </r>
        <r>
          <rPr>
            <sz val="14"/>
            <color indexed="81"/>
            <rFont val="Tahoma"/>
            <family val="2"/>
          </rPr>
          <t>Ex: Tc should include offsite flow</t>
        </r>
      </text>
    </comment>
    <comment ref="B116" authorId="0" shapeId="0" xr:uid="{00000000-0006-0000-0500-000003000000}">
      <text>
        <r>
          <rPr>
            <b/>
            <sz val="10"/>
            <color indexed="81"/>
            <rFont val="Tahoma"/>
            <family val="2"/>
          </rPr>
          <t>10.8.09</t>
        </r>
        <r>
          <rPr>
            <sz val="10"/>
            <color indexed="81"/>
            <rFont val="Tahoma"/>
            <family val="2"/>
          </rPr>
          <t xml:space="preserve">
0.2 may change to 0.05 in the future due to additional reasearch</t>
        </r>
      </text>
    </comment>
    <comment ref="B169" authorId="0" shapeId="0" xr:uid="{00000000-0006-0000-0500-000004000000}">
      <text>
        <r>
          <rPr>
            <b/>
            <sz val="10"/>
            <color indexed="81"/>
            <rFont val="Tahoma"/>
            <family val="2"/>
          </rPr>
          <t xml:space="preserve">inches
</t>
        </r>
      </text>
    </comment>
    <comment ref="B170" authorId="0" shapeId="0" xr:uid="{00000000-0006-0000-0500-000005000000}">
      <text>
        <r>
          <rPr>
            <sz val="10"/>
            <color indexed="81"/>
            <rFont val="Tahoma"/>
            <family val="2"/>
          </rPr>
          <t xml:space="preserve">
acre-ft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jsjaardema</author>
    <author>Wake County</author>
  </authors>
  <commentList>
    <comment ref="H9" authorId="0" shapeId="0" xr:uid="{00000000-0006-0000-0600-000001000000}">
      <text>
        <r>
          <rPr>
            <b/>
            <sz val="10"/>
            <color indexed="81"/>
            <rFont val="Tahoma"/>
            <family val="2"/>
          </rPr>
          <t>Does not match drainage area map</t>
        </r>
      </text>
    </comment>
    <comment ref="D70" authorId="1" shapeId="0" xr:uid="{00000000-0006-0000-0600-000002000000}">
      <text>
        <r>
          <rPr>
            <sz val="14"/>
            <color indexed="81"/>
            <rFont val="Arial"/>
            <family val="2"/>
          </rPr>
          <t>User may override Tc but must provide supporting calculations if spreadsheet calculations are not utilized</t>
        </r>
        <r>
          <rPr>
            <sz val="8"/>
            <color indexed="81"/>
            <rFont val="Tahoma"/>
            <family val="2"/>
          </rPr>
          <t xml:space="preserve">
</t>
        </r>
        <r>
          <rPr>
            <sz val="14"/>
            <color indexed="81"/>
            <rFont val="Tahoma"/>
            <family val="2"/>
          </rPr>
          <t>Ex: Tc should include offsite flow</t>
        </r>
      </text>
    </comment>
    <comment ref="B116" authorId="0" shapeId="0" xr:uid="{00000000-0006-0000-0600-000003000000}">
      <text>
        <r>
          <rPr>
            <b/>
            <sz val="10"/>
            <color indexed="81"/>
            <rFont val="Tahoma"/>
            <family val="2"/>
          </rPr>
          <t>10.8.09</t>
        </r>
        <r>
          <rPr>
            <sz val="10"/>
            <color indexed="81"/>
            <rFont val="Tahoma"/>
            <family val="2"/>
          </rPr>
          <t xml:space="preserve">
0.2 may change to 0.05 in the future due to additional reasearch</t>
        </r>
      </text>
    </comment>
    <comment ref="B169" authorId="0" shapeId="0" xr:uid="{00000000-0006-0000-0600-000004000000}">
      <text>
        <r>
          <rPr>
            <b/>
            <sz val="10"/>
            <color indexed="81"/>
            <rFont val="Tahoma"/>
            <family val="2"/>
          </rPr>
          <t xml:space="preserve">inches
</t>
        </r>
      </text>
    </comment>
    <comment ref="B170" authorId="0" shapeId="0" xr:uid="{00000000-0006-0000-0600-000005000000}">
      <text>
        <r>
          <rPr>
            <sz val="10"/>
            <color indexed="81"/>
            <rFont val="Tahoma"/>
            <family val="2"/>
          </rPr>
          <t xml:space="preserve">
acre-ft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jsjaardema</author>
    <author>Wake County</author>
  </authors>
  <commentList>
    <comment ref="H9" authorId="0" shapeId="0" xr:uid="{00000000-0006-0000-0700-000001000000}">
      <text>
        <r>
          <rPr>
            <b/>
            <sz val="10"/>
            <color indexed="81"/>
            <rFont val="Tahoma"/>
            <family val="2"/>
          </rPr>
          <t>Does not match drainage area map</t>
        </r>
      </text>
    </comment>
    <comment ref="D70" authorId="1" shapeId="0" xr:uid="{00000000-0006-0000-0700-000002000000}">
      <text>
        <r>
          <rPr>
            <sz val="14"/>
            <color indexed="81"/>
            <rFont val="Arial"/>
            <family val="2"/>
          </rPr>
          <t>User may override Tc but must provide supporting calculations if spreadsheet calculations are not utilized</t>
        </r>
        <r>
          <rPr>
            <sz val="8"/>
            <color indexed="81"/>
            <rFont val="Tahoma"/>
            <family val="2"/>
          </rPr>
          <t xml:space="preserve">
</t>
        </r>
        <r>
          <rPr>
            <sz val="14"/>
            <color indexed="81"/>
            <rFont val="Tahoma"/>
            <family val="2"/>
          </rPr>
          <t>Ex: Tc should include offsite flow</t>
        </r>
      </text>
    </comment>
    <comment ref="B116" authorId="0" shapeId="0" xr:uid="{00000000-0006-0000-0700-000003000000}">
      <text>
        <r>
          <rPr>
            <b/>
            <sz val="10"/>
            <color indexed="81"/>
            <rFont val="Tahoma"/>
            <family val="2"/>
          </rPr>
          <t>10.8.09</t>
        </r>
        <r>
          <rPr>
            <sz val="10"/>
            <color indexed="81"/>
            <rFont val="Tahoma"/>
            <family val="2"/>
          </rPr>
          <t xml:space="preserve">
0.2 may change to 0.05 in the future due to additional reasearch</t>
        </r>
      </text>
    </comment>
    <comment ref="B169" authorId="0" shapeId="0" xr:uid="{00000000-0006-0000-0700-000004000000}">
      <text>
        <r>
          <rPr>
            <b/>
            <sz val="10"/>
            <color indexed="81"/>
            <rFont val="Tahoma"/>
            <family val="2"/>
          </rPr>
          <t xml:space="preserve">inches
</t>
        </r>
      </text>
    </comment>
    <comment ref="B170" authorId="0" shapeId="0" xr:uid="{00000000-0006-0000-0700-000005000000}">
      <text>
        <r>
          <rPr>
            <sz val="10"/>
            <color indexed="81"/>
            <rFont val="Tahoma"/>
            <family val="2"/>
          </rPr>
          <t xml:space="preserve">
acre-ft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jsjaardema</author>
    <author>Wake County</author>
  </authors>
  <commentList>
    <comment ref="H9" authorId="0" shapeId="0" xr:uid="{00000000-0006-0000-0800-000001000000}">
      <text>
        <r>
          <rPr>
            <b/>
            <sz val="10"/>
            <color indexed="81"/>
            <rFont val="Tahoma"/>
            <family val="2"/>
          </rPr>
          <t>Does not match drainage area map</t>
        </r>
      </text>
    </comment>
    <comment ref="D70" authorId="1" shapeId="0" xr:uid="{00000000-0006-0000-0800-000002000000}">
      <text>
        <r>
          <rPr>
            <sz val="14"/>
            <color indexed="81"/>
            <rFont val="Arial"/>
            <family val="2"/>
          </rPr>
          <t>User may override Tc but must provide supporting calculations if spreadsheet calculations are not utilized</t>
        </r>
        <r>
          <rPr>
            <sz val="8"/>
            <color indexed="81"/>
            <rFont val="Tahoma"/>
            <family val="2"/>
          </rPr>
          <t xml:space="preserve">
</t>
        </r>
        <r>
          <rPr>
            <sz val="14"/>
            <color indexed="81"/>
            <rFont val="Tahoma"/>
            <family val="2"/>
          </rPr>
          <t>Ex: Tc should include offsite flow</t>
        </r>
      </text>
    </comment>
    <comment ref="B116" authorId="0" shapeId="0" xr:uid="{00000000-0006-0000-0800-000003000000}">
      <text>
        <r>
          <rPr>
            <b/>
            <sz val="10"/>
            <color indexed="81"/>
            <rFont val="Tahoma"/>
            <family val="2"/>
          </rPr>
          <t>10.8.09</t>
        </r>
        <r>
          <rPr>
            <sz val="10"/>
            <color indexed="81"/>
            <rFont val="Tahoma"/>
            <family val="2"/>
          </rPr>
          <t xml:space="preserve">
0.2 may change to 0.05 in the future due to additional reasearch</t>
        </r>
      </text>
    </comment>
    <comment ref="B169" authorId="0" shapeId="0" xr:uid="{00000000-0006-0000-0800-000004000000}">
      <text>
        <r>
          <rPr>
            <b/>
            <sz val="10"/>
            <color indexed="81"/>
            <rFont val="Tahoma"/>
            <family val="2"/>
          </rPr>
          <t xml:space="preserve">inches
</t>
        </r>
      </text>
    </comment>
    <comment ref="B170" authorId="0" shapeId="0" xr:uid="{00000000-0006-0000-0800-000005000000}">
      <text>
        <r>
          <rPr>
            <sz val="10"/>
            <color indexed="81"/>
            <rFont val="Tahoma"/>
            <family val="2"/>
          </rPr>
          <t xml:space="preserve">
acre-ft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jsjaardema</author>
    <author>Wake County</author>
  </authors>
  <commentList>
    <comment ref="H9" authorId="0" shapeId="0" xr:uid="{00000000-0006-0000-0900-000001000000}">
      <text>
        <r>
          <rPr>
            <b/>
            <sz val="10"/>
            <color indexed="81"/>
            <rFont val="Tahoma"/>
            <family val="2"/>
          </rPr>
          <t>Does not match drainage area map</t>
        </r>
      </text>
    </comment>
    <comment ref="D70" authorId="1" shapeId="0" xr:uid="{00000000-0006-0000-0900-000002000000}">
      <text>
        <r>
          <rPr>
            <sz val="14"/>
            <color indexed="81"/>
            <rFont val="Arial"/>
            <family val="2"/>
          </rPr>
          <t>User may override Tc but must provide supporting calculations if spreadsheet calculations are not utilized</t>
        </r>
        <r>
          <rPr>
            <sz val="8"/>
            <color indexed="81"/>
            <rFont val="Tahoma"/>
            <family val="2"/>
          </rPr>
          <t xml:space="preserve">
</t>
        </r>
        <r>
          <rPr>
            <sz val="14"/>
            <color indexed="81"/>
            <rFont val="Tahoma"/>
            <family val="2"/>
          </rPr>
          <t>Ex: Tc should include offsite flow</t>
        </r>
      </text>
    </comment>
    <comment ref="B116" authorId="0" shapeId="0" xr:uid="{00000000-0006-0000-0900-000003000000}">
      <text>
        <r>
          <rPr>
            <b/>
            <sz val="10"/>
            <color indexed="81"/>
            <rFont val="Tahoma"/>
            <family val="2"/>
          </rPr>
          <t>10.8.09</t>
        </r>
        <r>
          <rPr>
            <sz val="10"/>
            <color indexed="81"/>
            <rFont val="Tahoma"/>
            <family val="2"/>
          </rPr>
          <t xml:space="preserve">
0.2 may change to 0.05 in the future due to additional reasearch</t>
        </r>
      </text>
    </comment>
    <comment ref="B169" authorId="0" shapeId="0" xr:uid="{00000000-0006-0000-0900-000004000000}">
      <text>
        <r>
          <rPr>
            <b/>
            <sz val="10"/>
            <color indexed="81"/>
            <rFont val="Tahoma"/>
            <family val="2"/>
          </rPr>
          <t xml:space="preserve">inches
</t>
        </r>
      </text>
    </comment>
    <comment ref="B170" authorId="0" shapeId="0" xr:uid="{00000000-0006-0000-0900-000005000000}">
      <text>
        <r>
          <rPr>
            <sz val="10"/>
            <color indexed="81"/>
            <rFont val="Tahoma"/>
            <family val="2"/>
          </rPr>
          <t xml:space="preserve">
acre-ft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jsjaardema</author>
    <author>Wake County</author>
  </authors>
  <commentList>
    <comment ref="H9" authorId="0" shapeId="0" xr:uid="{00000000-0006-0000-0A00-000001000000}">
      <text>
        <r>
          <rPr>
            <b/>
            <sz val="10"/>
            <color indexed="81"/>
            <rFont val="Tahoma"/>
            <family val="2"/>
          </rPr>
          <t>Does not match drainage area map</t>
        </r>
      </text>
    </comment>
    <comment ref="D70" authorId="1" shapeId="0" xr:uid="{00000000-0006-0000-0A00-000002000000}">
      <text>
        <r>
          <rPr>
            <sz val="14"/>
            <color indexed="81"/>
            <rFont val="Arial"/>
            <family val="2"/>
          </rPr>
          <t>User may override Tc but must provide supporting calculations if spreadsheet calculations are not utilized</t>
        </r>
        <r>
          <rPr>
            <sz val="8"/>
            <color indexed="81"/>
            <rFont val="Tahoma"/>
            <family val="2"/>
          </rPr>
          <t xml:space="preserve">
</t>
        </r>
        <r>
          <rPr>
            <sz val="14"/>
            <color indexed="81"/>
            <rFont val="Tahoma"/>
            <family val="2"/>
          </rPr>
          <t>Ex: Tc should include offsite flow</t>
        </r>
      </text>
    </comment>
    <comment ref="B116" authorId="0" shapeId="0" xr:uid="{00000000-0006-0000-0A00-000003000000}">
      <text>
        <r>
          <rPr>
            <b/>
            <sz val="10"/>
            <color indexed="81"/>
            <rFont val="Tahoma"/>
            <family val="2"/>
          </rPr>
          <t>10.8.09</t>
        </r>
        <r>
          <rPr>
            <sz val="10"/>
            <color indexed="81"/>
            <rFont val="Tahoma"/>
            <family val="2"/>
          </rPr>
          <t xml:space="preserve">
0.2 may change to 0.05 in the future due to additional reasearch</t>
        </r>
      </text>
    </comment>
    <comment ref="B169" authorId="0" shapeId="0" xr:uid="{00000000-0006-0000-0A00-000004000000}">
      <text>
        <r>
          <rPr>
            <b/>
            <sz val="10"/>
            <color indexed="81"/>
            <rFont val="Tahoma"/>
            <family val="2"/>
          </rPr>
          <t xml:space="preserve">inches
</t>
        </r>
      </text>
    </comment>
    <comment ref="B170" authorId="0" shapeId="0" xr:uid="{00000000-0006-0000-0A00-000005000000}">
      <text>
        <r>
          <rPr>
            <sz val="10"/>
            <color indexed="81"/>
            <rFont val="Tahoma"/>
            <family val="2"/>
          </rPr>
          <t xml:space="preserve">
acre-ft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jsjaardema</author>
    <author>Wake County</author>
  </authors>
  <commentList>
    <comment ref="H9" authorId="0" shapeId="0" xr:uid="{00000000-0006-0000-0B00-000001000000}">
      <text>
        <r>
          <rPr>
            <b/>
            <sz val="10"/>
            <color indexed="81"/>
            <rFont val="Tahoma"/>
            <family val="2"/>
          </rPr>
          <t>Does not match drainage area map</t>
        </r>
      </text>
    </comment>
    <comment ref="D70" authorId="1" shapeId="0" xr:uid="{00000000-0006-0000-0B00-000002000000}">
      <text>
        <r>
          <rPr>
            <sz val="14"/>
            <color indexed="81"/>
            <rFont val="Arial"/>
            <family val="2"/>
          </rPr>
          <t>User may override Tc but must provide supporting calculations if spreadsheet calculations are not utilized</t>
        </r>
        <r>
          <rPr>
            <sz val="8"/>
            <color indexed="81"/>
            <rFont val="Tahoma"/>
            <family val="2"/>
          </rPr>
          <t xml:space="preserve">
</t>
        </r>
        <r>
          <rPr>
            <sz val="14"/>
            <color indexed="81"/>
            <rFont val="Tahoma"/>
            <family val="2"/>
          </rPr>
          <t>Ex: Tc should include offsite flow</t>
        </r>
      </text>
    </comment>
    <comment ref="B116" authorId="0" shapeId="0" xr:uid="{00000000-0006-0000-0B00-000003000000}">
      <text>
        <r>
          <rPr>
            <b/>
            <sz val="10"/>
            <color indexed="81"/>
            <rFont val="Tahoma"/>
            <family val="2"/>
          </rPr>
          <t>10.8.09</t>
        </r>
        <r>
          <rPr>
            <sz val="10"/>
            <color indexed="81"/>
            <rFont val="Tahoma"/>
            <family val="2"/>
          </rPr>
          <t xml:space="preserve">
0.2 may change to 0.05 in the future due to additional reasearch</t>
        </r>
      </text>
    </comment>
    <comment ref="B169" authorId="0" shapeId="0" xr:uid="{00000000-0006-0000-0B00-000004000000}">
      <text>
        <r>
          <rPr>
            <b/>
            <sz val="10"/>
            <color indexed="81"/>
            <rFont val="Tahoma"/>
            <family val="2"/>
          </rPr>
          <t xml:space="preserve">inches
</t>
        </r>
      </text>
    </comment>
    <comment ref="B170" authorId="0" shapeId="0" xr:uid="{00000000-0006-0000-0B00-000005000000}">
      <text>
        <r>
          <rPr>
            <sz val="10"/>
            <color indexed="81"/>
            <rFont val="Tahoma"/>
            <family val="2"/>
          </rPr>
          <t xml:space="preserve">
acre-ft</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jsjaardema</author>
    <author>Wake County</author>
  </authors>
  <commentList>
    <comment ref="H9" authorId="0" shapeId="0" xr:uid="{00000000-0006-0000-0C00-000001000000}">
      <text>
        <r>
          <rPr>
            <b/>
            <sz val="10"/>
            <color indexed="81"/>
            <rFont val="Tahoma"/>
            <family val="2"/>
          </rPr>
          <t>Does not match drainage area map</t>
        </r>
      </text>
    </comment>
    <comment ref="D70" authorId="1" shapeId="0" xr:uid="{00000000-0006-0000-0C00-000002000000}">
      <text>
        <r>
          <rPr>
            <sz val="14"/>
            <color indexed="81"/>
            <rFont val="Arial"/>
            <family val="2"/>
          </rPr>
          <t>User may override Tc but must provide supporting calculations if spreadsheet calculations are not utilized</t>
        </r>
        <r>
          <rPr>
            <sz val="8"/>
            <color indexed="81"/>
            <rFont val="Tahoma"/>
            <family val="2"/>
          </rPr>
          <t xml:space="preserve">
</t>
        </r>
        <r>
          <rPr>
            <sz val="14"/>
            <color indexed="81"/>
            <rFont val="Tahoma"/>
            <family val="2"/>
          </rPr>
          <t>Ex: Tc should include offsite flow</t>
        </r>
      </text>
    </comment>
    <comment ref="B116" authorId="0" shapeId="0" xr:uid="{00000000-0006-0000-0C00-000003000000}">
      <text>
        <r>
          <rPr>
            <b/>
            <sz val="10"/>
            <color indexed="81"/>
            <rFont val="Tahoma"/>
            <family val="2"/>
          </rPr>
          <t>10.8.09</t>
        </r>
        <r>
          <rPr>
            <sz val="10"/>
            <color indexed="81"/>
            <rFont val="Tahoma"/>
            <family val="2"/>
          </rPr>
          <t xml:space="preserve">
0.2 may change to 0.05 in the future due to additional reasearch</t>
        </r>
      </text>
    </comment>
    <comment ref="B169" authorId="0" shapeId="0" xr:uid="{00000000-0006-0000-0C00-000004000000}">
      <text>
        <r>
          <rPr>
            <b/>
            <sz val="10"/>
            <color indexed="81"/>
            <rFont val="Tahoma"/>
            <family val="2"/>
          </rPr>
          <t xml:space="preserve">inches
</t>
        </r>
      </text>
    </comment>
    <comment ref="B170" authorId="0" shapeId="0" xr:uid="{00000000-0006-0000-0C00-000005000000}">
      <text>
        <r>
          <rPr>
            <sz val="10"/>
            <color indexed="81"/>
            <rFont val="Tahoma"/>
            <family val="2"/>
          </rPr>
          <t xml:space="preserve">
acre-ft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Jennifer</author>
    <author>bjpearce</author>
  </authors>
  <commentList>
    <comment ref="B54" authorId="0" shapeId="0" xr:uid="{00000000-0006-0000-0D00-000001000000}">
      <text>
        <r>
          <rPr>
            <b/>
            <sz val="9"/>
            <color indexed="81"/>
            <rFont val="Tahoma"/>
            <family val="2"/>
          </rPr>
          <t>Wendell:
- Requires on-site mitigation down to 3.6 lbs/yr unless LID classification is achieved
Rolesville:
- Projects that are required to provide Stormwater Control Measures (SCMs) shall provide nitrogen loading reduction
Zebulon:
- Projects shall provide nitrogen loading reduction onsite.</t>
        </r>
        <r>
          <rPr>
            <sz val="9"/>
            <color indexed="81"/>
            <rFont val="Tahoma"/>
            <family val="2"/>
          </rPr>
          <t xml:space="preserve">
</t>
        </r>
      </text>
    </comment>
    <comment ref="B61" authorId="1" shapeId="0" xr:uid="{00000000-0006-0000-0D00-000002000000}">
      <text>
        <r>
          <rPr>
            <sz val="11"/>
            <color indexed="81"/>
            <rFont val="Tahoma"/>
            <family val="2"/>
          </rPr>
          <t>New impervious plus the portion of open space allocated to it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Wake County</author>
    <author>jsjaardema</author>
  </authors>
  <commentList>
    <comment ref="D28" authorId="0" shapeId="0" xr:uid="{00000000-0006-0000-0E00-000001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38" authorId="0" shapeId="0" xr:uid="{00000000-0006-0000-0E00-000002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48" authorId="0" shapeId="0" xr:uid="{00000000-0006-0000-0E00-000003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58" authorId="0" shapeId="0" xr:uid="{00000000-0006-0000-0E00-000004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68" authorId="0" shapeId="0" xr:uid="{00000000-0006-0000-0E00-000005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B80" authorId="1" shapeId="0" xr:uid="{00000000-0006-0000-0E00-000006000000}">
      <text>
        <r>
          <rPr>
            <b/>
            <sz val="12"/>
            <color indexed="81"/>
            <rFont val="Tahoma"/>
            <family val="2"/>
          </rPr>
          <t>Assumption:
Water stored and drawn down over a 2-5 days period is removed from the post runoff</t>
        </r>
      </text>
    </comment>
    <comment ref="B85" authorId="1" shapeId="0" xr:uid="{00000000-0006-0000-0E00-000007000000}">
      <text>
        <r>
          <rPr>
            <b/>
            <sz val="12"/>
            <color indexed="81"/>
            <rFont val="Tahoma"/>
            <family val="2"/>
          </rPr>
          <t>Assumption:
Water stored and drawn down over a 2-5 days period is removed from the post runoff</t>
        </r>
      </text>
    </comment>
    <comment ref="B91" authorId="1" shapeId="0" xr:uid="{00000000-0006-0000-0E00-000008000000}">
      <text>
        <r>
          <rPr>
            <b/>
            <sz val="12"/>
            <color indexed="81"/>
            <rFont val="Tahoma"/>
            <family val="2"/>
          </rPr>
          <t>Assumption:
Water stored and drawn down over a 2-5 days period is removed from the post runoff</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Wake County</author>
    <author>jsjaardema</author>
  </authors>
  <commentList>
    <comment ref="D28" authorId="0" shapeId="0" xr:uid="{00000000-0006-0000-0F00-000001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38" authorId="0" shapeId="0" xr:uid="{00000000-0006-0000-0F00-000002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48" authorId="0" shapeId="0" xr:uid="{00000000-0006-0000-0F00-000003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58" authorId="0" shapeId="0" xr:uid="{00000000-0006-0000-0F00-000004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68" authorId="0" shapeId="0" xr:uid="{00000000-0006-0000-0F00-000005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B80" authorId="1" shapeId="0" xr:uid="{00000000-0006-0000-0F00-000006000000}">
      <text>
        <r>
          <rPr>
            <b/>
            <sz val="12"/>
            <color indexed="81"/>
            <rFont val="Tahoma"/>
            <family val="2"/>
          </rPr>
          <t>Assumption:
Water stored and drawn down over a 2-5 days period is removed from the post runoff</t>
        </r>
      </text>
    </comment>
    <comment ref="B85" authorId="1" shapeId="0" xr:uid="{00000000-0006-0000-0F00-000007000000}">
      <text>
        <r>
          <rPr>
            <b/>
            <sz val="12"/>
            <color indexed="81"/>
            <rFont val="Tahoma"/>
            <family val="2"/>
          </rPr>
          <t>Assumption:
Water stored and drawn down over a 2-5 days period is removed from the post runoff</t>
        </r>
      </text>
    </comment>
    <comment ref="B91" authorId="1" shapeId="0" xr:uid="{00000000-0006-0000-0F00-000008000000}">
      <text>
        <r>
          <rPr>
            <b/>
            <sz val="12"/>
            <color indexed="81"/>
            <rFont val="Tahoma"/>
            <family val="2"/>
          </rPr>
          <t>Assumption:
Water stored and drawn down over a 2-5 days period is removed from the post runoff</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Wake County</author>
    <author>jsjaardema</author>
  </authors>
  <commentList>
    <comment ref="D28" authorId="0" shapeId="0" xr:uid="{00000000-0006-0000-1000-000001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38" authorId="0" shapeId="0" xr:uid="{00000000-0006-0000-1000-000002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48" authorId="0" shapeId="0" xr:uid="{00000000-0006-0000-1000-000003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58" authorId="0" shapeId="0" xr:uid="{00000000-0006-0000-1000-000004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68" authorId="0" shapeId="0" xr:uid="{00000000-0006-0000-1000-000005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B80" authorId="1" shapeId="0" xr:uid="{00000000-0006-0000-1000-000006000000}">
      <text>
        <r>
          <rPr>
            <b/>
            <sz val="12"/>
            <color indexed="81"/>
            <rFont val="Tahoma"/>
            <family val="2"/>
          </rPr>
          <t>Assumption:
Water stored and drawn down over a 2-5 days period is removed from the post runoff</t>
        </r>
      </text>
    </comment>
    <comment ref="B85" authorId="1" shapeId="0" xr:uid="{00000000-0006-0000-1000-000007000000}">
      <text>
        <r>
          <rPr>
            <b/>
            <sz val="12"/>
            <color indexed="81"/>
            <rFont val="Tahoma"/>
            <family val="2"/>
          </rPr>
          <t>Assumption:
Water stored and drawn down over a 2-5 days period is removed from the post runoff</t>
        </r>
      </text>
    </comment>
    <comment ref="B91" authorId="1" shapeId="0" xr:uid="{00000000-0006-0000-1000-000008000000}">
      <text>
        <r>
          <rPr>
            <b/>
            <sz val="12"/>
            <color indexed="81"/>
            <rFont val="Tahoma"/>
            <family val="2"/>
          </rPr>
          <t>Assumption:
Water stored and drawn down over a 2-5 days period is removed from the post runoff</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Wake County</author>
    <author>jsjaardema</author>
  </authors>
  <commentList>
    <comment ref="D28" authorId="0" shapeId="0" xr:uid="{00000000-0006-0000-1100-000001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38" authorId="0" shapeId="0" xr:uid="{00000000-0006-0000-1100-000002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48" authorId="0" shapeId="0" xr:uid="{00000000-0006-0000-1100-000003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58" authorId="0" shapeId="0" xr:uid="{00000000-0006-0000-1100-000004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68" authorId="0" shapeId="0" xr:uid="{00000000-0006-0000-1100-000005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B80" authorId="1" shapeId="0" xr:uid="{00000000-0006-0000-1100-000006000000}">
      <text>
        <r>
          <rPr>
            <b/>
            <sz val="12"/>
            <color indexed="81"/>
            <rFont val="Tahoma"/>
            <family val="2"/>
          </rPr>
          <t>Assumption:
Water stored and drawn down over a 2-5 days period is removed from the post runoff</t>
        </r>
      </text>
    </comment>
    <comment ref="B85" authorId="1" shapeId="0" xr:uid="{00000000-0006-0000-1100-000007000000}">
      <text>
        <r>
          <rPr>
            <b/>
            <sz val="12"/>
            <color indexed="81"/>
            <rFont val="Tahoma"/>
            <family val="2"/>
          </rPr>
          <t>Assumption:
Water stored and drawn down over a 2-5 days period is removed from the post runoff</t>
        </r>
      </text>
    </comment>
    <comment ref="B91" authorId="1" shapeId="0" xr:uid="{00000000-0006-0000-1100-000008000000}">
      <text>
        <r>
          <rPr>
            <b/>
            <sz val="12"/>
            <color indexed="81"/>
            <rFont val="Tahoma"/>
            <family val="2"/>
          </rPr>
          <t>Assumption:
Water stored and drawn down over a 2-5 days period is removed from the post runoff</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Wake County</author>
    <author>jsjaardema</author>
  </authors>
  <commentList>
    <comment ref="D28" authorId="0" shapeId="0" xr:uid="{00000000-0006-0000-1200-000001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38" authorId="0" shapeId="0" xr:uid="{00000000-0006-0000-1200-000002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48" authorId="0" shapeId="0" xr:uid="{00000000-0006-0000-1200-000003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58" authorId="0" shapeId="0" xr:uid="{00000000-0006-0000-1200-000004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68" authorId="0" shapeId="0" xr:uid="{00000000-0006-0000-1200-000005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B80" authorId="1" shapeId="0" xr:uid="{00000000-0006-0000-1200-000006000000}">
      <text>
        <r>
          <rPr>
            <b/>
            <sz val="12"/>
            <color indexed="81"/>
            <rFont val="Tahoma"/>
            <family val="2"/>
          </rPr>
          <t>Assumption:
Water stored and drawn down over a 2-5 days period is removed from the post runoff</t>
        </r>
      </text>
    </comment>
    <comment ref="B85" authorId="1" shapeId="0" xr:uid="{00000000-0006-0000-1200-000007000000}">
      <text>
        <r>
          <rPr>
            <b/>
            <sz val="12"/>
            <color indexed="81"/>
            <rFont val="Tahoma"/>
            <family val="2"/>
          </rPr>
          <t>Assumption:
Water stored and drawn down over a 2-5 days period is removed from the post runoff</t>
        </r>
      </text>
    </comment>
    <comment ref="B91" authorId="1" shapeId="0" xr:uid="{00000000-0006-0000-1200-000008000000}">
      <text>
        <r>
          <rPr>
            <b/>
            <sz val="12"/>
            <color indexed="81"/>
            <rFont val="Tahoma"/>
            <family val="2"/>
          </rPr>
          <t>Assumption:
Water stored and drawn down over a 2-5 days period is removed from the post runoff</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Wake County</author>
    <author>jsjaardema</author>
  </authors>
  <commentList>
    <comment ref="D28" authorId="0" shapeId="0" xr:uid="{00000000-0006-0000-1300-000001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38" authorId="0" shapeId="0" xr:uid="{00000000-0006-0000-1300-000002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48" authorId="0" shapeId="0" xr:uid="{00000000-0006-0000-1300-000003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58" authorId="0" shapeId="0" xr:uid="{00000000-0006-0000-1300-000004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68" authorId="0" shapeId="0" xr:uid="{00000000-0006-0000-1300-000005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B80" authorId="1" shapeId="0" xr:uid="{00000000-0006-0000-1300-000006000000}">
      <text>
        <r>
          <rPr>
            <b/>
            <sz val="12"/>
            <color indexed="81"/>
            <rFont val="Tahoma"/>
            <family val="2"/>
          </rPr>
          <t>Assumption:
Water stored and drawn down over a 2-5 days period is removed from the post runoff</t>
        </r>
      </text>
    </comment>
    <comment ref="B85" authorId="1" shapeId="0" xr:uid="{00000000-0006-0000-1300-000007000000}">
      <text>
        <r>
          <rPr>
            <b/>
            <sz val="12"/>
            <color indexed="81"/>
            <rFont val="Tahoma"/>
            <family val="2"/>
          </rPr>
          <t>Assumption:
Water stored and drawn down over a 2-5 days period is removed from the post runoff</t>
        </r>
      </text>
    </comment>
    <comment ref="B91" authorId="1" shapeId="0" xr:uid="{00000000-0006-0000-1300-000008000000}">
      <text>
        <r>
          <rPr>
            <b/>
            <sz val="12"/>
            <color indexed="81"/>
            <rFont val="Tahoma"/>
            <family val="2"/>
          </rPr>
          <t>Assumption:
Water stored and drawn down over a 2-5 days period is removed from the post runoff</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Wake County</author>
    <author>jsjaardema</author>
  </authors>
  <commentList>
    <comment ref="D28" authorId="0" shapeId="0" xr:uid="{00000000-0006-0000-1400-000001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38" authorId="0" shapeId="0" xr:uid="{00000000-0006-0000-1400-000002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48" authorId="0" shapeId="0" xr:uid="{00000000-0006-0000-1400-000003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58" authorId="0" shapeId="0" xr:uid="{00000000-0006-0000-1400-000004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68" authorId="0" shapeId="0" xr:uid="{00000000-0006-0000-1400-000005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B80" authorId="1" shapeId="0" xr:uid="{00000000-0006-0000-1400-000006000000}">
      <text>
        <r>
          <rPr>
            <b/>
            <sz val="12"/>
            <color indexed="81"/>
            <rFont val="Tahoma"/>
            <family val="2"/>
          </rPr>
          <t>Assumption:
Water stored and drawn down over a 2-5 days period is removed from the post runoff</t>
        </r>
      </text>
    </comment>
    <comment ref="B85" authorId="1" shapeId="0" xr:uid="{00000000-0006-0000-1400-000007000000}">
      <text>
        <r>
          <rPr>
            <b/>
            <sz val="12"/>
            <color indexed="81"/>
            <rFont val="Tahoma"/>
            <family val="2"/>
          </rPr>
          <t>Assumption:
Water stored and drawn down over a 2-5 days period is removed from the post runoff</t>
        </r>
      </text>
    </comment>
    <comment ref="B91" authorId="1" shapeId="0" xr:uid="{00000000-0006-0000-1400-000008000000}">
      <text>
        <r>
          <rPr>
            <b/>
            <sz val="12"/>
            <color indexed="81"/>
            <rFont val="Tahoma"/>
            <family val="2"/>
          </rPr>
          <t>Assumption:
Water stored and drawn down over a 2-5 days period is removed from the post runoff</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Wake County</author>
    <author>jsjaardema</author>
  </authors>
  <commentList>
    <comment ref="D28" authorId="0" shapeId="0" xr:uid="{00000000-0006-0000-1500-000001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38" authorId="0" shapeId="0" xr:uid="{00000000-0006-0000-1500-000002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48" authorId="0" shapeId="0" xr:uid="{00000000-0006-0000-1500-000003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58" authorId="0" shapeId="0" xr:uid="{00000000-0006-0000-1500-000004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68" authorId="0" shapeId="0" xr:uid="{00000000-0006-0000-1500-000005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B80" authorId="1" shapeId="0" xr:uid="{00000000-0006-0000-1500-000006000000}">
      <text>
        <r>
          <rPr>
            <b/>
            <sz val="12"/>
            <color indexed="81"/>
            <rFont val="Tahoma"/>
            <family val="2"/>
          </rPr>
          <t>Assumption:
Water stored and drawn down over a 2-5 days period is removed from the post runoff</t>
        </r>
      </text>
    </comment>
    <comment ref="B85" authorId="1" shapeId="0" xr:uid="{00000000-0006-0000-1500-000007000000}">
      <text>
        <r>
          <rPr>
            <b/>
            <sz val="12"/>
            <color indexed="81"/>
            <rFont val="Tahoma"/>
            <family val="2"/>
          </rPr>
          <t>Assumption:
Water stored and drawn down over a 2-5 days period is removed from the post runoff</t>
        </r>
      </text>
    </comment>
    <comment ref="B91" authorId="1" shapeId="0" xr:uid="{00000000-0006-0000-1500-000008000000}">
      <text>
        <r>
          <rPr>
            <b/>
            <sz val="12"/>
            <color indexed="81"/>
            <rFont val="Tahoma"/>
            <family val="2"/>
          </rPr>
          <t>Assumption:
Water stored and drawn down over a 2-5 days period is removed from the post runoff</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Wake County</author>
    <author>jsjaardema</author>
  </authors>
  <commentList>
    <comment ref="D28" authorId="0" shapeId="0" xr:uid="{00000000-0006-0000-1600-000001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38" authorId="0" shapeId="0" xr:uid="{00000000-0006-0000-1600-000002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48" authorId="0" shapeId="0" xr:uid="{00000000-0006-0000-1600-000003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58" authorId="0" shapeId="0" xr:uid="{00000000-0006-0000-1600-000004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68" authorId="0" shapeId="0" xr:uid="{00000000-0006-0000-1600-000005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B80" authorId="1" shapeId="0" xr:uid="{00000000-0006-0000-1600-000006000000}">
      <text>
        <r>
          <rPr>
            <b/>
            <sz val="12"/>
            <color indexed="81"/>
            <rFont val="Tahoma"/>
            <family val="2"/>
          </rPr>
          <t>Assumption:
Water stored and drawn down over a 2-5 days period is removed from the post runoff</t>
        </r>
      </text>
    </comment>
    <comment ref="B85" authorId="1" shapeId="0" xr:uid="{00000000-0006-0000-1600-000007000000}">
      <text>
        <r>
          <rPr>
            <b/>
            <sz val="12"/>
            <color indexed="81"/>
            <rFont val="Tahoma"/>
            <family val="2"/>
          </rPr>
          <t>Assumption:
Water stored and drawn down over a 2-5 days period is removed from the post runoff</t>
        </r>
      </text>
    </comment>
    <comment ref="B91" authorId="1" shapeId="0" xr:uid="{00000000-0006-0000-1600-000008000000}">
      <text>
        <r>
          <rPr>
            <b/>
            <sz val="12"/>
            <color indexed="81"/>
            <rFont val="Tahoma"/>
            <family val="2"/>
          </rPr>
          <t>Assumption:
Water stored and drawn down over a 2-5 days period is removed from the post runoff</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Wake County</author>
    <author>jsjaardema</author>
  </authors>
  <commentList>
    <comment ref="D28" authorId="0" shapeId="0" xr:uid="{00000000-0006-0000-1700-000001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38" authorId="0" shapeId="0" xr:uid="{00000000-0006-0000-1700-000002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48" authorId="0" shapeId="0" xr:uid="{00000000-0006-0000-1700-000003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58" authorId="0" shapeId="0" xr:uid="{00000000-0006-0000-1700-000004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D68" authorId="0" shapeId="0" xr:uid="{00000000-0006-0000-1700-000005000000}">
      <text>
        <r>
          <rPr>
            <b/>
            <sz val="14"/>
            <color indexed="81"/>
            <rFont val="Tahoma"/>
            <family val="2"/>
          </rPr>
          <t>Represents volume generated from runoff from first 1" of rain (High Density Only)
Water Quality Volume for Low and Ultra Low Density based on most restrictive design volume to achieve compliance with ordinance and is not provided in this cell</t>
        </r>
        <r>
          <rPr>
            <sz val="8"/>
            <color indexed="81"/>
            <rFont val="Tahoma"/>
            <family val="2"/>
          </rPr>
          <t xml:space="preserve">
</t>
        </r>
      </text>
    </comment>
    <comment ref="B80" authorId="1" shapeId="0" xr:uid="{00000000-0006-0000-1700-000006000000}">
      <text>
        <r>
          <rPr>
            <b/>
            <sz val="12"/>
            <color indexed="81"/>
            <rFont val="Tahoma"/>
            <family val="2"/>
          </rPr>
          <t>Assumption:
Water stored and drawn down over a 2-5 days period is removed from the post runoff</t>
        </r>
      </text>
    </comment>
    <comment ref="B85" authorId="1" shapeId="0" xr:uid="{00000000-0006-0000-1700-000007000000}">
      <text>
        <r>
          <rPr>
            <b/>
            <sz val="12"/>
            <color indexed="81"/>
            <rFont val="Tahoma"/>
            <family val="2"/>
          </rPr>
          <t>Assumption:
Water stored and drawn down over a 2-5 days period is removed from the post runoff</t>
        </r>
      </text>
    </comment>
    <comment ref="B91" authorId="1" shapeId="0" xr:uid="{00000000-0006-0000-1700-000008000000}">
      <text>
        <r>
          <rPr>
            <b/>
            <sz val="12"/>
            <color indexed="81"/>
            <rFont val="Tahoma"/>
            <family val="2"/>
          </rPr>
          <t>Assumption:
Water stored and drawn down over a 2-5 days period is removed from the post runoff</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Jennifer</author>
  </authors>
  <commentList>
    <comment ref="B24" authorId="0" shapeId="0" xr:uid="{00000000-0006-0000-1800-000001000000}">
      <text>
        <r>
          <rPr>
            <b/>
            <sz val="9"/>
            <color indexed="81"/>
            <rFont val="Tahoma"/>
            <family val="2"/>
          </rPr>
          <t>Wendell:
- Requires on-site mitigation down to 3.6 lbs/yr unless LID classification is achieved
Rolesville:
- Projects that are required to provide Stormwater Control Measures (SCMs) shall provide nitrogen loading reduction
Zebulon:
- Projects shall provide nitrogen loading reduction onsite.</t>
        </r>
        <r>
          <rPr>
            <sz val="9"/>
            <color indexed="81"/>
            <rFont val="Tahoma"/>
            <family val="2"/>
          </rPr>
          <t xml:space="preserve">
</t>
        </r>
      </text>
    </comment>
  </commentList>
</comments>
</file>

<file path=xl/sharedStrings.xml><?xml version="1.0" encoding="utf-8"?>
<sst xmlns="http://schemas.openxmlformats.org/spreadsheetml/2006/main" count="5531" uniqueCount="757">
  <si>
    <t>Project Information</t>
  </si>
  <si>
    <t>Site Data:</t>
  </si>
  <si>
    <t>Project Density:</t>
  </si>
  <si>
    <t>Number of Drainage Areas on Site:</t>
  </si>
  <si>
    <t>Applicant:</t>
  </si>
  <si>
    <t>Applicant Contact Number:</t>
  </si>
  <si>
    <t>Applicant Contact Name:</t>
  </si>
  <si>
    <t>DRAINAGE AREA 1</t>
  </si>
  <si>
    <t>STORMWATER PRE-POST CALCULATIONS</t>
  </si>
  <si>
    <t>PRE-DEVELOPMENT</t>
  </si>
  <si>
    <t>%</t>
  </si>
  <si>
    <t>Residential</t>
  </si>
  <si>
    <t>Pasture</t>
  </si>
  <si>
    <t>Woods</t>
  </si>
  <si>
    <t>LAND USE</t>
  </si>
  <si>
    <t>A</t>
  </si>
  <si>
    <t>B</t>
  </si>
  <si>
    <t>D</t>
  </si>
  <si>
    <t>C</t>
  </si>
  <si>
    <t>TYPE</t>
  </si>
  <si>
    <t>S=</t>
  </si>
  <si>
    <t>Q*=</t>
  </si>
  <si>
    <r>
      <t>Q= (P-.2S)</t>
    </r>
    <r>
      <rPr>
        <vertAlign val="superscript"/>
        <sz val="10"/>
        <rFont val="Arial"/>
        <family val="2"/>
      </rPr>
      <t>2</t>
    </r>
    <r>
      <rPr>
        <sz val="10"/>
        <rFont val="Arial"/>
        <family val="2"/>
      </rPr>
      <t>/(P+.8S)</t>
    </r>
  </si>
  <si>
    <t>PROJECT DENSITY</t>
  </si>
  <si>
    <t>Ultra-Low</t>
  </si>
  <si>
    <t>Low</t>
  </si>
  <si>
    <t>High</t>
  </si>
  <si>
    <t>N/A</t>
  </si>
  <si>
    <t>Site Area</t>
  </si>
  <si>
    <t>Target CN</t>
  </si>
  <si>
    <t>POST-DEVELOPMENT</t>
  </si>
  <si>
    <t>Project Name:</t>
  </si>
  <si>
    <t>Method:  TR-55 Graphical Peak Discharge Method for Type II Distribution</t>
  </si>
  <si>
    <t>Where:</t>
  </si>
  <si>
    <t>Q* = runoff (inches)</t>
  </si>
  <si>
    <t>Pre-development</t>
  </si>
  <si>
    <t>csm/in</t>
  </si>
  <si>
    <r>
      <t>Q</t>
    </r>
    <r>
      <rPr>
        <b/>
        <vertAlign val="subscript"/>
        <sz val="12"/>
        <rFont val="Arial"/>
        <family val="2"/>
      </rPr>
      <t xml:space="preserve">1-year </t>
    </r>
    <r>
      <rPr>
        <b/>
        <sz val="12"/>
        <rFont val="Arial"/>
        <family val="2"/>
      </rPr>
      <t xml:space="preserve">= </t>
    </r>
  </si>
  <si>
    <t>cfs</t>
  </si>
  <si>
    <t>SCS RUNOFF METHOD</t>
  </si>
  <si>
    <t>Q*= Runoff (in)</t>
  </si>
  <si>
    <t>S= Potential max retention after runoff begins (in)</t>
  </si>
  <si>
    <t>(1000/CN)-10</t>
  </si>
  <si>
    <t>Number of Lots:</t>
  </si>
  <si>
    <t>Impervious</t>
  </si>
  <si>
    <t>P= Precipitation (in)</t>
  </si>
  <si>
    <t>Surface Cover</t>
  </si>
  <si>
    <t>Post-development</t>
  </si>
  <si>
    <t>PRE-DEVELOPMENT RUNOFF</t>
  </si>
  <si>
    <t>POST-DEVELOPMENT RUNOFF</t>
  </si>
  <si>
    <t>Bioretention</t>
  </si>
  <si>
    <t>Wet Detention Basin</t>
  </si>
  <si>
    <t>Grass Swale</t>
  </si>
  <si>
    <t>Permeable Pavement</t>
  </si>
  <si>
    <t>TSS</t>
  </si>
  <si>
    <t>PEAK FLOW</t>
  </si>
  <si>
    <r>
      <t>PRE-DEVELOPMENT T</t>
    </r>
    <r>
      <rPr>
        <b/>
        <vertAlign val="subscript"/>
        <sz val="14"/>
        <color theme="1"/>
        <rFont val="Arial"/>
        <family val="2"/>
      </rPr>
      <t>c</t>
    </r>
  </si>
  <si>
    <t>POST-DEVELOPMENT Tc</t>
  </si>
  <si>
    <t>SHALLOW FLOW</t>
  </si>
  <si>
    <t>Total Acreage in Lots:</t>
  </si>
  <si>
    <t>Surface Cover:</t>
  </si>
  <si>
    <r>
      <t>q</t>
    </r>
    <r>
      <rPr>
        <vertAlign val="subscript"/>
        <sz val="12"/>
        <rFont val="Arial"/>
        <family val="2"/>
      </rPr>
      <t>u</t>
    </r>
    <r>
      <rPr>
        <sz val="12"/>
        <rFont val="Arial"/>
        <family val="2"/>
      </rPr>
      <t xml:space="preserve"> =</t>
    </r>
  </si>
  <si>
    <r>
      <t>A</t>
    </r>
    <r>
      <rPr>
        <vertAlign val="subscript"/>
        <sz val="12"/>
        <rFont val="Arial"/>
        <family val="2"/>
      </rPr>
      <t>m</t>
    </r>
    <r>
      <rPr>
        <sz val="12"/>
        <rFont val="Arial"/>
        <family val="2"/>
      </rPr>
      <t xml:space="preserve"> =</t>
    </r>
  </si>
  <si>
    <r>
      <t>mi</t>
    </r>
    <r>
      <rPr>
        <vertAlign val="superscript"/>
        <sz val="12"/>
        <rFont val="Arial"/>
        <family val="2"/>
      </rPr>
      <t>2</t>
    </r>
  </si>
  <si>
    <t>TIME OF CONCENTRATION</t>
  </si>
  <si>
    <r>
      <t>T</t>
    </r>
    <r>
      <rPr>
        <vertAlign val="subscript"/>
        <sz val="12"/>
        <color theme="1"/>
        <rFont val="Arial"/>
        <family val="2"/>
      </rPr>
      <t>t</t>
    </r>
    <r>
      <rPr>
        <sz val="12"/>
        <color theme="1"/>
        <rFont val="Arial"/>
        <family val="2"/>
      </rPr>
      <t xml:space="preserve"> =</t>
    </r>
  </si>
  <si>
    <t>L</t>
  </si>
  <si>
    <t>3600V</t>
  </si>
  <si>
    <t>L = flow length (ft)</t>
  </si>
  <si>
    <t>V = average velocity (ft/s)</t>
  </si>
  <si>
    <r>
      <t>T</t>
    </r>
    <r>
      <rPr>
        <vertAlign val="subscript"/>
        <sz val="12"/>
        <rFont val="Arial"/>
        <family val="2"/>
      </rPr>
      <t>t</t>
    </r>
    <r>
      <rPr>
        <sz val="12"/>
        <rFont val="Arial"/>
        <family val="2"/>
      </rPr>
      <t xml:space="preserve"> =travel time (hr)</t>
    </r>
  </si>
  <si>
    <t>3600 = conversion factor from seconds to hours</t>
  </si>
  <si>
    <r>
      <t>T</t>
    </r>
    <r>
      <rPr>
        <vertAlign val="subscript"/>
        <sz val="12"/>
        <color theme="1"/>
        <rFont val="Arial"/>
        <family val="2"/>
      </rPr>
      <t>c</t>
    </r>
    <r>
      <rPr>
        <sz val="12"/>
        <color theme="1"/>
        <rFont val="Arial"/>
        <family val="2"/>
      </rPr>
      <t xml:space="preserve"> =</t>
    </r>
  </si>
  <si>
    <r>
      <t>T</t>
    </r>
    <r>
      <rPr>
        <vertAlign val="subscript"/>
        <sz val="12"/>
        <color theme="1"/>
        <rFont val="Arial"/>
        <family val="2"/>
      </rPr>
      <t>c</t>
    </r>
    <r>
      <rPr>
        <sz val="12"/>
        <color theme="1"/>
        <rFont val="Arial"/>
        <family val="2"/>
      </rPr>
      <t xml:space="preserve"> = time of concentration (hr)</t>
    </r>
  </si>
  <si>
    <t>m = # of flow segments</t>
  </si>
  <si>
    <r>
      <t>T</t>
    </r>
    <r>
      <rPr>
        <vertAlign val="subscript"/>
        <sz val="12"/>
        <color theme="1"/>
        <rFont val="Arial"/>
        <family val="2"/>
      </rPr>
      <t xml:space="preserve">1 </t>
    </r>
    <r>
      <rPr>
        <sz val="12"/>
        <color theme="1"/>
        <rFont val="Arial"/>
        <family val="2"/>
      </rPr>
      <t xml:space="preserve"> + T</t>
    </r>
    <r>
      <rPr>
        <vertAlign val="subscript"/>
        <sz val="12"/>
        <color theme="1"/>
        <rFont val="Arial"/>
        <family val="2"/>
      </rPr>
      <t>2</t>
    </r>
    <r>
      <rPr>
        <sz val="12"/>
        <color theme="1"/>
        <rFont val="Arial"/>
        <family val="2"/>
      </rPr>
      <t xml:space="preserve"> +T</t>
    </r>
    <r>
      <rPr>
        <vertAlign val="subscript"/>
        <sz val="12"/>
        <color theme="1"/>
        <rFont val="Arial"/>
        <family val="2"/>
      </rPr>
      <t>3</t>
    </r>
    <r>
      <rPr>
        <sz val="12"/>
        <color theme="1"/>
        <rFont val="Arial"/>
        <family val="2"/>
      </rPr>
      <t xml:space="preserve"> + ...T</t>
    </r>
    <r>
      <rPr>
        <vertAlign val="subscript"/>
        <sz val="12"/>
        <color theme="1"/>
        <rFont val="Arial"/>
        <family val="2"/>
      </rPr>
      <t>m</t>
    </r>
  </si>
  <si>
    <r>
      <t>0.0007(nL)</t>
    </r>
    <r>
      <rPr>
        <u/>
        <vertAlign val="superscript"/>
        <sz val="12"/>
        <color theme="1"/>
        <rFont val="Arial"/>
        <family val="2"/>
      </rPr>
      <t>0.8</t>
    </r>
  </si>
  <si>
    <r>
      <t>(P</t>
    </r>
    <r>
      <rPr>
        <vertAlign val="subscript"/>
        <sz val="12"/>
        <color theme="1"/>
        <rFont val="Arial"/>
        <family val="2"/>
      </rPr>
      <t>2</t>
    </r>
    <r>
      <rPr>
        <sz val="12"/>
        <color theme="1"/>
        <rFont val="Arial"/>
        <family val="2"/>
      </rPr>
      <t>)</t>
    </r>
    <r>
      <rPr>
        <vertAlign val="superscript"/>
        <sz val="12"/>
        <color theme="1"/>
        <rFont val="Arial"/>
        <family val="2"/>
      </rPr>
      <t>0.5</t>
    </r>
    <r>
      <rPr>
        <sz val="12"/>
        <color theme="1"/>
        <rFont val="Arial"/>
        <family val="2"/>
      </rPr>
      <t>s</t>
    </r>
    <r>
      <rPr>
        <vertAlign val="superscript"/>
        <sz val="12"/>
        <color theme="1"/>
        <rFont val="Arial"/>
        <family val="2"/>
      </rPr>
      <t>0.4</t>
    </r>
  </si>
  <si>
    <t>n = Manning's roughness coefficient (Table 3-1)</t>
  </si>
  <si>
    <t>s = slope of hydraulic grade line (land slope, ft/ft)</t>
  </si>
  <si>
    <r>
      <t>sum of T</t>
    </r>
    <r>
      <rPr>
        <vertAlign val="subscript"/>
        <sz val="12"/>
        <color theme="1"/>
        <rFont val="Arial"/>
        <family val="2"/>
      </rPr>
      <t>t</t>
    </r>
    <r>
      <rPr>
        <sz val="12"/>
        <color theme="1"/>
        <rFont val="Arial"/>
        <family val="2"/>
      </rPr>
      <t xml:space="preserve"> values for consecutive flow segments</t>
    </r>
  </si>
  <si>
    <t>SURFACE DESCRIPTION</t>
  </si>
  <si>
    <t>n</t>
  </si>
  <si>
    <t>Grass</t>
  </si>
  <si>
    <t>Modified Table 3-1 for Stormwater Tool</t>
  </si>
  <si>
    <t>SHEET FLOW (FOR FLOW LESS THAN 300 FEET)</t>
  </si>
  <si>
    <t>n-value=</t>
  </si>
  <si>
    <t>Length (ft)=</t>
  </si>
  <si>
    <t>Slope (ft/ft)=</t>
  </si>
  <si>
    <r>
      <t>T</t>
    </r>
    <r>
      <rPr>
        <vertAlign val="subscript"/>
        <sz val="12"/>
        <color theme="1"/>
        <rFont val="Arial"/>
        <family val="2"/>
      </rPr>
      <t>t</t>
    </r>
    <r>
      <rPr>
        <sz val="12"/>
        <color theme="1"/>
        <rFont val="Arial"/>
        <family val="2"/>
      </rPr>
      <t xml:space="preserve"> (hrs)=</t>
    </r>
  </si>
  <si>
    <t>Wetted Perimeter (ft)=</t>
  </si>
  <si>
    <t>Paved, Gravel, or Bare Soil</t>
  </si>
  <si>
    <t>Drainage Area (Acres)=</t>
  </si>
  <si>
    <t>Site Acreage within Drainage=</t>
  </si>
  <si>
    <t>Existing Lake/Pond Area (Acres)=</t>
  </si>
  <si>
    <t>See Sheet Flow Calculations</t>
  </si>
  <si>
    <t>Average Velocity (ft/sec)=</t>
  </si>
  <si>
    <t>V=</t>
  </si>
  <si>
    <r>
      <t>16.1345(s)</t>
    </r>
    <r>
      <rPr>
        <vertAlign val="superscript"/>
        <sz val="12"/>
        <rFont val="Arial"/>
        <family val="2"/>
      </rPr>
      <t>0.5</t>
    </r>
  </si>
  <si>
    <r>
      <t>20.3282(s)</t>
    </r>
    <r>
      <rPr>
        <vertAlign val="superscript"/>
        <sz val="12"/>
        <rFont val="Arial"/>
        <family val="2"/>
      </rPr>
      <t>0.6</t>
    </r>
    <r>
      <rPr>
        <sz val="12"/>
        <color theme="1"/>
        <rFont val="Arial"/>
        <family val="2"/>
      </rPr>
      <t/>
    </r>
  </si>
  <si>
    <t>V=Average Velocity (ft/s)</t>
  </si>
  <si>
    <t>s = slope of hydraulic grade line (watercourse slope, ft/ft)</t>
  </si>
  <si>
    <t>Unpaved</t>
  </si>
  <si>
    <t>Paved</t>
  </si>
  <si>
    <r>
      <t>1.49r</t>
    </r>
    <r>
      <rPr>
        <vertAlign val="superscript"/>
        <sz val="12"/>
        <rFont val="Arial"/>
        <family val="2"/>
      </rPr>
      <t>2/3</t>
    </r>
    <r>
      <rPr>
        <sz val="12"/>
        <rFont val="Arial"/>
        <family val="2"/>
      </rPr>
      <t>s</t>
    </r>
    <r>
      <rPr>
        <vertAlign val="superscript"/>
        <sz val="12"/>
        <rFont val="Arial"/>
        <family val="2"/>
      </rPr>
      <t>1/2</t>
    </r>
  </si>
  <si>
    <t>r = hydraulic radius (ft)</t>
  </si>
  <si>
    <t>s = slope of hydraulic grade line (channel slope, ft/ft)</t>
  </si>
  <si>
    <t>n = Manning's roughness coefficient for open channel flow</t>
  </si>
  <si>
    <r>
      <t>Cross Sectional Flow Area (ft</t>
    </r>
    <r>
      <rPr>
        <vertAlign val="superscript"/>
        <sz val="12"/>
        <color theme="1"/>
        <rFont val="Arial"/>
        <family val="2"/>
      </rPr>
      <t>2</t>
    </r>
    <r>
      <rPr>
        <sz val="12"/>
        <color theme="1"/>
        <rFont val="Arial"/>
        <family val="2"/>
      </rPr>
      <t>)=</t>
    </r>
  </si>
  <si>
    <t>Hydraulic Radius (ft)=</t>
  </si>
  <si>
    <t xml:space="preserve">r = </t>
  </si>
  <si>
    <t>a</t>
  </si>
  <si>
    <r>
      <t>p</t>
    </r>
    <r>
      <rPr>
        <vertAlign val="subscript"/>
        <sz val="12"/>
        <color theme="1"/>
        <rFont val="Arial"/>
        <family val="2"/>
      </rPr>
      <t>w</t>
    </r>
  </si>
  <si>
    <t>a = cross sectional flow area (ft2)</t>
  </si>
  <si>
    <r>
      <t>p</t>
    </r>
    <r>
      <rPr>
        <vertAlign val="subscript"/>
        <sz val="12"/>
        <color theme="1"/>
        <rFont val="Arial"/>
        <family val="2"/>
      </rPr>
      <t>w</t>
    </r>
    <r>
      <rPr>
        <sz val="12"/>
        <color theme="1"/>
        <rFont val="Arial"/>
        <family val="2"/>
      </rPr>
      <t>=wetted perimeter (ft)</t>
    </r>
  </si>
  <si>
    <t>3600 = conversion factor (sec-hrs)</t>
  </si>
  <si>
    <t>Channel Lining:</t>
  </si>
  <si>
    <t>CHANNEL LINING</t>
  </si>
  <si>
    <t>Asphalt</t>
  </si>
  <si>
    <t>Concrete, finished</t>
  </si>
  <si>
    <t>Concrete, unfinished</t>
  </si>
  <si>
    <t>Weeds</t>
  </si>
  <si>
    <t>Gravel Bottom/riprap sides</t>
  </si>
  <si>
    <t>Notes:</t>
  </si>
  <si>
    <t>Calculations used on Drainage Area Sheets</t>
  </si>
  <si>
    <t>Tc (hrs)=</t>
  </si>
  <si>
    <t>TO BE HIDDEN</t>
  </si>
  <si>
    <r>
      <t>Q*= (P-.2S)</t>
    </r>
    <r>
      <rPr>
        <b/>
        <vertAlign val="superscript"/>
        <sz val="12"/>
        <rFont val="Arial"/>
        <family val="2"/>
      </rPr>
      <t>2</t>
    </r>
    <r>
      <rPr>
        <b/>
        <sz val="12"/>
        <rFont val="Arial"/>
        <family val="2"/>
      </rPr>
      <t>/(P+.8S)</t>
    </r>
  </si>
  <si>
    <r>
      <t>Q</t>
    </r>
    <r>
      <rPr>
        <vertAlign val="subscript"/>
        <sz val="12"/>
        <rFont val="Arial"/>
        <family val="2"/>
      </rPr>
      <t>p</t>
    </r>
    <r>
      <rPr>
        <sz val="12"/>
        <rFont val="Arial"/>
        <family val="2"/>
      </rPr>
      <t xml:space="preserve"> = Peak Discharge (cfs)</t>
    </r>
  </si>
  <si>
    <r>
      <t>q</t>
    </r>
    <r>
      <rPr>
        <vertAlign val="subscript"/>
        <sz val="12"/>
        <rFont val="Arial"/>
        <family val="2"/>
      </rPr>
      <t>u</t>
    </r>
    <r>
      <rPr>
        <sz val="12"/>
        <rFont val="Arial"/>
        <family val="2"/>
      </rPr>
      <t xml:space="preserve"> = Unit peak discharge (csm/in) </t>
    </r>
    <r>
      <rPr>
        <i/>
        <sz val="12"/>
        <rFont val="Arial"/>
        <family val="2"/>
      </rPr>
      <t>TR-55 Appendix F</t>
    </r>
  </si>
  <si>
    <r>
      <t>A</t>
    </r>
    <r>
      <rPr>
        <vertAlign val="subscript"/>
        <sz val="12"/>
        <rFont val="Arial"/>
        <family val="2"/>
      </rPr>
      <t>m</t>
    </r>
    <r>
      <rPr>
        <sz val="12"/>
        <rFont val="Arial"/>
        <family val="2"/>
      </rPr>
      <t xml:space="preserve"> = Drainage Area (mi</t>
    </r>
    <r>
      <rPr>
        <vertAlign val="superscript"/>
        <sz val="12"/>
        <rFont val="Arial"/>
        <family val="2"/>
      </rPr>
      <t>2</t>
    </r>
    <r>
      <rPr>
        <sz val="12"/>
        <rFont val="Arial"/>
        <family val="2"/>
      </rPr>
      <t>)</t>
    </r>
  </si>
  <si>
    <t>See Shallow Flow Calculations</t>
  </si>
  <si>
    <t>Composite Curve Number=</t>
  </si>
  <si>
    <t>WEIGHTED CURVE NUMBER</t>
  </si>
  <si>
    <t>RESULTS</t>
  </si>
  <si>
    <t>Ia/P</t>
  </si>
  <si>
    <t>C0</t>
  </si>
  <si>
    <t>C1</t>
  </si>
  <si>
    <r>
      <t>log(q</t>
    </r>
    <r>
      <rPr>
        <vertAlign val="subscript"/>
        <sz val="12"/>
        <color theme="1"/>
        <rFont val="Arial"/>
        <family val="2"/>
      </rPr>
      <t>u</t>
    </r>
    <r>
      <rPr>
        <sz val="12"/>
        <color theme="1"/>
        <rFont val="Arial"/>
        <family val="2"/>
      </rPr>
      <t>) = C</t>
    </r>
    <r>
      <rPr>
        <vertAlign val="subscript"/>
        <sz val="12"/>
        <color theme="1"/>
        <rFont val="Arial"/>
        <family val="2"/>
      </rPr>
      <t>o</t>
    </r>
    <r>
      <rPr>
        <sz val="12"/>
        <color theme="1"/>
        <rFont val="Arial"/>
        <family val="2"/>
      </rPr>
      <t>+C</t>
    </r>
    <r>
      <rPr>
        <vertAlign val="subscript"/>
        <sz val="12"/>
        <color theme="1"/>
        <rFont val="Arial"/>
        <family val="2"/>
      </rPr>
      <t>1</t>
    </r>
    <r>
      <rPr>
        <sz val="12"/>
        <color theme="1"/>
        <rFont val="Arial"/>
        <family val="2"/>
      </rPr>
      <t>log(Tc) + C</t>
    </r>
    <r>
      <rPr>
        <vertAlign val="subscript"/>
        <sz val="12"/>
        <color theme="1"/>
        <rFont val="Arial"/>
        <family val="2"/>
      </rPr>
      <t>2</t>
    </r>
    <r>
      <rPr>
        <sz val="12"/>
        <color theme="1"/>
        <rFont val="Arial"/>
        <family val="2"/>
      </rPr>
      <t>[log(Tc)]</t>
    </r>
    <r>
      <rPr>
        <vertAlign val="superscript"/>
        <sz val="12"/>
        <color theme="1"/>
        <rFont val="Arial"/>
        <family val="2"/>
      </rPr>
      <t>2</t>
    </r>
  </si>
  <si>
    <r>
      <t>C</t>
    </r>
    <r>
      <rPr>
        <vertAlign val="subscript"/>
        <sz val="12"/>
        <color theme="1"/>
        <rFont val="Arial"/>
        <family val="2"/>
      </rPr>
      <t>o</t>
    </r>
    <r>
      <rPr>
        <sz val="12"/>
        <color theme="1"/>
        <rFont val="Arial"/>
        <family val="2"/>
      </rPr>
      <t>, C</t>
    </r>
    <r>
      <rPr>
        <vertAlign val="subscript"/>
        <sz val="12"/>
        <color theme="1"/>
        <rFont val="Arial"/>
        <family val="2"/>
      </rPr>
      <t>1</t>
    </r>
    <r>
      <rPr>
        <sz val="12"/>
        <color theme="1"/>
        <rFont val="Arial"/>
        <family val="2"/>
      </rPr>
      <t>, C</t>
    </r>
    <r>
      <rPr>
        <vertAlign val="subscript"/>
        <sz val="12"/>
        <color theme="1"/>
        <rFont val="Arial"/>
        <family val="2"/>
      </rPr>
      <t xml:space="preserve">2 </t>
    </r>
    <r>
      <rPr>
        <sz val="12"/>
        <color theme="1"/>
        <rFont val="Arial"/>
        <family val="2"/>
      </rPr>
      <t>= coefficient from Table F-1</t>
    </r>
  </si>
  <si>
    <r>
      <t>T</t>
    </r>
    <r>
      <rPr>
        <vertAlign val="subscript"/>
        <sz val="12"/>
        <color theme="1"/>
        <rFont val="Arial"/>
        <family val="2"/>
      </rPr>
      <t xml:space="preserve">c </t>
    </r>
    <r>
      <rPr>
        <sz val="12"/>
        <color theme="1"/>
        <rFont val="Arial"/>
        <family val="2"/>
      </rPr>
      <t>= time of concentration (hr)</t>
    </r>
  </si>
  <si>
    <t>Ia/P=</t>
  </si>
  <si>
    <r>
      <t>C</t>
    </r>
    <r>
      <rPr>
        <vertAlign val="subscript"/>
        <sz val="12"/>
        <color theme="1"/>
        <rFont val="Arial"/>
        <family val="2"/>
      </rPr>
      <t>o</t>
    </r>
    <r>
      <rPr>
        <sz val="12"/>
        <color theme="1"/>
        <rFont val="Arial"/>
        <family val="2"/>
      </rPr>
      <t>=</t>
    </r>
  </si>
  <si>
    <r>
      <t>C</t>
    </r>
    <r>
      <rPr>
        <vertAlign val="subscript"/>
        <sz val="12"/>
        <color theme="1"/>
        <rFont val="Arial"/>
        <family val="2"/>
      </rPr>
      <t>1</t>
    </r>
    <r>
      <rPr>
        <sz val="12"/>
        <color theme="1"/>
        <rFont val="Arial"/>
        <family val="2"/>
      </rPr>
      <t>=</t>
    </r>
  </si>
  <si>
    <r>
      <t>C</t>
    </r>
    <r>
      <rPr>
        <vertAlign val="subscript"/>
        <sz val="12"/>
        <color theme="1"/>
        <rFont val="Arial"/>
        <family val="2"/>
      </rPr>
      <t xml:space="preserve">2 </t>
    </r>
    <r>
      <rPr>
        <sz val="12"/>
        <color theme="1"/>
        <rFont val="Arial"/>
        <family val="2"/>
      </rPr>
      <t>=</t>
    </r>
  </si>
  <si>
    <t>log(qu) =</t>
  </si>
  <si>
    <t>qu=</t>
  </si>
  <si>
    <t>PERCENTAGE OF POND AND SWAMP AREAS</t>
  </si>
  <si>
    <r>
      <t xml:space="preserve">TABLE 4-2
</t>
    </r>
    <r>
      <rPr>
        <i/>
        <sz val="11"/>
        <color theme="1"/>
        <rFont val="Arial"/>
        <family val="2"/>
      </rPr>
      <t>Adjustment factor (F</t>
    </r>
    <r>
      <rPr>
        <i/>
        <vertAlign val="subscript"/>
        <sz val="11"/>
        <color theme="1"/>
        <rFont val="Arial"/>
        <family val="2"/>
      </rPr>
      <t>p</t>
    </r>
    <r>
      <rPr>
        <i/>
        <sz val="11"/>
        <color theme="1"/>
        <rFont val="Arial"/>
        <family val="2"/>
      </rPr>
      <t>) for pond and swamp areas that are spread throughout the watershed</t>
    </r>
  </si>
  <si>
    <r>
      <t>Q</t>
    </r>
    <r>
      <rPr>
        <vertAlign val="subscript"/>
        <sz val="12"/>
        <rFont val="Arial"/>
        <family val="2"/>
      </rPr>
      <t>p</t>
    </r>
    <r>
      <rPr>
        <sz val="12"/>
        <rFont val="Arial"/>
        <family val="2"/>
      </rPr>
      <t xml:space="preserve"> = q</t>
    </r>
    <r>
      <rPr>
        <vertAlign val="subscript"/>
        <sz val="12"/>
        <rFont val="Arial"/>
        <family val="2"/>
      </rPr>
      <t>u</t>
    </r>
    <r>
      <rPr>
        <sz val="12"/>
        <rFont val="Arial"/>
        <family val="2"/>
      </rPr>
      <t>A</t>
    </r>
    <r>
      <rPr>
        <vertAlign val="subscript"/>
        <sz val="12"/>
        <rFont val="Arial"/>
        <family val="2"/>
      </rPr>
      <t>m</t>
    </r>
    <r>
      <rPr>
        <sz val="12"/>
        <rFont val="Arial"/>
        <family val="2"/>
      </rPr>
      <t>Q*F</t>
    </r>
    <r>
      <rPr>
        <vertAlign val="subscript"/>
        <sz val="12"/>
        <rFont val="Arial"/>
        <family val="2"/>
      </rPr>
      <t>p</t>
    </r>
  </si>
  <si>
    <r>
      <t>F</t>
    </r>
    <r>
      <rPr>
        <vertAlign val="subscript"/>
        <sz val="12"/>
        <rFont val="Arial"/>
        <family val="2"/>
      </rPr>
      <t xml:space="preserve">p </t>
    </r>
    <r>
      <rPr>
        <sz val="12"/>
        <rFont val="Arial"/>
        <family val="2"/>
      </rPr>
      <t>= pond adjustment factor</t>
    </r>
  </si>
  <si>
    <t>%pond=</t>
  </si>
  <si>
    <r>
      <t xml:space="preserve">TABLE F-1
</t>
    </r>
    <r>
      <rPr>
        <sz val="12"/>
        <color theme="1"/>
        <rFont val="Arial"/>
        <family val="2"/>
      </rPr>
      <t>ASSUMES RAINFALL TYPE II</t>
    </r>
  </si>
  <si>
    <t>0-0.144</t>
  </si>
  <si>
    <t>&gt;4.5</t>
  </si>
  <si>
    <t>2.5-4.44</t>
  </si>
  <si>
    <t>0.45-2.44</t>
  </si>
  <si>
    <t>0.145-0.45</t>
  </si>
  <si>
    <r>
      <t>q</t>
    </r>
    <r>
      <rPr>
        <vertAlign val="subscript"/>
        <sz val="12"/>
        <rFont val="Arial"/>
        <family val="2"/>
      </rPr>
      <t>u</t>
    </r>
    <r>
      <rPr>
        <sz val="12"/>
        <rFont val="Arial"/>
        <family val="2"/>
      </rPr>
      <t xml:space="preserve"> = Unit peak discharge (csm/in)</t>
    </r>
  </si>
  <si>
    <t>See Peak Flow Calculations</t>
  </si>
  <si>
    <r>
      <t>log(q</t>
    </r>
    <r>
      <rPr>
        <b/>
        <vertAlign val="subscript"/>
        <sz val="12"/>
        <color theme="1"/>
        <rFont val="Arial"/>
        <family val="2"/>
      </rPr>
      <t>u</t>
    </r>
    <r>
      <rPr>
        <b/>
        <sz val="12"/>
        <color theme="1"/>
        <rFont val="Arial"/>
        <family val="2"/>
      </rPr>
      <t>) = C</t>
    </r>
    <r>
      <rPr>
        <b/>
        <vertAlign val="subscript"/>
        <sz val="12"/>
        <color theme="1"/>
        <rFont val="Arial"/>
        <family val="2"/>
      </rPr>
      <t>o</t>
    </r>
    <r>
      <rPr>
        <b/>
        <sz val="12"/>
        <color theme="1"/>
        <rFont val="Arial"/>
        <family val="2"/>
      </rPr>
      <t>+C</t>
    </r>
    <r>
      <rPr>
        <b/>
        <vertAlign val="subscript"/>
        <sz val="12"/>
        <color theme="1"/>
        <rFont val="Arial"/>
        <family val="2"/>
      </rPr>
      <t>1</t>
    </r>
    <r>
      <rPr>
        <b/>
        <sz val="12"/>
        <color theme="1"/>
        <rFont val="Arial"/>
        <family val="2"/>
      </rPr>
      <t>log(Tc) + C</t>
    </r>
    <r>
      <rPr>
        <b/>
        <vertAlign val="subscript"/>
        <sz val="12"/>
        <color theme="1"/>
        <rFont val="Arial"/>
        <family val="2"/>
      </rPr>
      <t>2</t>
    </r>
    <r>
      <rPr>
        <b/>
        <sz val="12"/>
        <color theme="1"/>
        <rFont val="Arial"/>
        <family val="2"/>
      </rPr>
      <t>[log(Tc)]</t>
    </r>
    <r>
      <rPr>
        <b/>
        <vertAlign val="superscript"/>
        <sz val="12"/>
        <color theme="1"/>
        <rFont val="Arial"/>
        <family val="2"/>
      </rPr>
      <t>2</t>
    </r>
  </si>
  <si>
    <t>DISCONNECTED IMPERVIOUS CALCULATION</t>
  </si>
  <si>
    <r>
      <t>P</t>
    </r>
    <r>
      <rPr>
        <vertAlign val="subscript"/>
        <sz val="12"/>
        <rFont val="Arial"/>
        <family val="2"/>
      </rPr>
      <t>imp</t>
    </r>
    <r>
      <rPr>
        <sz val="12"/>
        <rFont val="Arial"/>
        <family val="2"/>
      </rPr>
      <t xml:space="preserve"> = Percent Imperviousness</t>
    </r>
  </si>
  <si>
    <t>R = ratio of unconnected impervious area to total impervious area</t>
  </si>
  <si>
    <r>
      <t>CN</t>
    </r>
    <r>
      <rPr>
        <vertAlign val="subscript"/>
        <sz val="12"/>
        <rFont val="Arial"/>
        <family val="2"/>
      </rPr>
      <t xml:space="preserve">p </t>
    </r>
    <r>
      <rPr>
        <sz val="12"/>
        <rFont val="Arial"/>
        <family val="2"/>
      </rPr>
      <t xml:space="preserve">= </t>
    </r>
  </si>
  <si>
    <r>
      <t>P</t>
    </r>
    <r>
      <rPr>
        <vertAlign val="subscript"/>
        <sz val="12"/>
        <rFont val="Arial"/>
        <family val="2"/>
      </rPr>
      <t>imp</t>
    </r>
    <r>
      <rPr>
        <sz val="12"/>
        <rFont val="Arial"/>
        <family val="2"/>
      </rPr>
      <t xml:space="preserve"> =</t>
    </r>
  </si>
  <si>
    <t xml:space="preserve">R = </t>
  </si>
  <si>
    <t>HYDROLOGIC SOIL GROUP</t>
  </si>
  <si>
    <t>TARGET CURVE NUMBER</t>
  </si>
  <si>
    <r>
      <t>F</t>
    </r>
    <r>
      <rPr>
        <b/>
        <vertAlign val="subscript"/>
        <sz val="12"/>
        <color rgb="FFFF0000"/>
        <rFont val="Arial"/>
        <family val="2"/>
      </rPr>
      <t>p</t>
    </r>
    <r>
      <rPr>
        <b/>
        <sz val="12"/>
        <color rgb="FFFF0000"/>
        <rFont val="Arial"/>
        <family val="2"/>
      </rPr>
      <t>=</t>
    </r>
  </si>
  <si>
    <t>CALCULATIONS AND REFERENCE</t>
  </si>
  <si>
    <t>Unpaved:</t>
  </si>
  <si>
    <t>Paved:</t>
  </si>
  <si>
    <t>OPEN CHANNEL FLOW</t>
  </si>
  <si>
    <t>See Open Channel Flow</t>
  </si>
  <si>
    <t>CN</t>
  </si>
  <si>
    <t>See Tc</t>
  </si>
  <si>
    <t>See Weighted Curve Number</t>
  </si>
  <si>
    <t>See SCS Runoff Method</t>
  </si>
  <si>
    <t>MAXIMUM CURVE NUMBER AFTER DEVELOPMENT</t>
  </si>
  <si>
    <t>SITE \SOIL COMPOSITION</t>
  </si>
  <si>
    <t>DRAINAGE AREA SUMMARIES</t>
  </si>
  <si>
    <t>SITE SUMMARY</t>
  </si>
  <si>
    <t>Pre-Development</t>
  </si>
  <si>
    <t>Post-Development</t>
  </si>
  <si>
    <t>DA1</t>
  </si>
  <si>
    <t>DA2</t>
  </si>
  <si>
    <t>DA3</t>
  </si>
  <si>
    <t>DA4</t>
  </si>
  <si>
    <t>DA5</t>
  </si>
  <si>
    <t>DA6</t>
  </si>
  <si>
    <t>DA7</t>
  </si>
  <si>
    <t>DA8</t>
  </si>
  <si>
    <t>DA9</t>
  </si>
  <si>
    <t>DA10</t>
  </si>
  <si>
    <t>See Maximum Curve Number after Development</t>
  </si>
  <si>
    <t>DRAINAGE AREA:</t>
  </si>
  <si>
    <t>Site Data</t>
  </si>
  <si>
    <t>Total Site Area (acres) =</t>
  </si>
  <si>
    <t>Project Density =</t>
  </si>
  <si>
    <t>Pre-Development CN =</t>
  </si>
  <si>
    <t>Post-Development CN =</t>
  </si>
  <si>
    <r>
      <t>Q</t>
    </r>
    <r>
      <rPr>
        <vertAlign val="subscript"/>
        <sz val="12"/>
        <rFont val="Arial"/>
        <family val="2"/>
      </rPr>
      <t xml:space="preserve">target </t>
    </r>
    <r>
      <rPr>
        <sz val="12"/>
        <rFont val="Arial"/>
        <family val="2"/>
      </rPr>
      <t>(in) =</t>
    </r>
  </si>
  <si>
    <t>Target Curve Number (TCN) =</t>
  </si>
  <si>
    <r>
      <t>Peak Flow (cfs)=Q</t>
    </r>
    <r>
      <rPr>
        <vertAlign val="subscript"/>
        <sz val="12"/>
        <color theme="1"/>
        <rFont val="Arial"/>
        <family val="2"/>
      </rPr>
      <t xml:space="preserve">1-year </t>
    </r>
    <r>
      <rPr>
        <sz val="12"/>
        <color theme="1"/>
        <rFont val="Arial"/>
        <family val="2"/>
      </rPr>
      <t>=</t>
    </r>
  </si>
  <si>
    <t>Proposed Impervious Surface (acre) =</t>
  </si>
  <si>
    <t>POST-DEVELOPMENT (HIGH DENSITY ONLY)</t>
  </si>
  <si>
    <t>BMP</t>
  </si>
  <si>
    <t>Stormwater Wetlands</t>
  </si>
  <si>
    <t>Sand Filter</t>
  </si>
  <si>
    <t>Filter Strip</t>
  </si>
  <si>
    <t>Restored Riparian Buffer</t>
  </si>
  <si>
    <t>Infiltration Device</t>
  </si>
  <si>
    <t>Dry Extended Detention Basin</t>
  </si>
  <si>
    <t>25-40%</t>
  </si>
  <si>
    <r>
      <t xml:space="preserve">TABLE 4-1, SW BMP MANUAL
</t>
    </r>
    <r>
      <rPr>
        <sz val="12"/>
        <color theme="1"/>
        <rFont val="Arial"/>
        <family val="2"/>
      </rPr>
      <t>BMP ABILITY FOR 
SW QUANTITY CONTROL</t>
    </r>
  </si>
  <si>
    <r>
      <t xml:space="preserve">TABLE 3-9
</t>
    </r>
    <r>
      <rPr>
        <i/>
        <sz val="14"/>
        <color theme="1"/>
        <rFont val="Arial"/>
        <family val="2"/>
      </rPr>
      <t>Rational Runoff Coefficients</t>
    </r>
  </si>
  <si>
    <t>TN</t>
  </si>
  <si>
    <t>Non-Residential</t>
  </si>
  <si>
    <t>Does Peak Flow meet LID requirements?</t>
  </si>
  <si>
    <t>Does Runoff meet LID requirements?</t>
  </si>
  <si>
    <t>Does CN meet LID requirements?</t>
  </si>
  <si>
    <t>See Disconnected Impervious Calculation</t>
  </si>
  <si>
    <t>Disconnected Impervious Adjustment</t>
  </si>
  <si>
    <r>
      <t>CN</t>
    </r>
    <r>
      <rPr>
        <vertAlign val="subscript"/>
        <sz val="12"/>
        <rFont val="Arial"/>
        <family val="2"/>
      </rPr>
      <t xml:space="preserve">p </t>
    </r>
    <r>
      <rPr>
        <sz val="12"/>
        <rFont val="Arial"/>
        <family val="2"/>
      </rPr>
      <t>= Pervious runoff curve number =(PostCN - (Pimp/100)*98)/(1 -(Pimp/100))</t>
    </r>
  </si>
  <si>
    <r>
      <t>CN</t>
    </r>
    <r>
      <rPr>
        <vertAlign val="subscript"/>
        <sz val="12"/>
        <rFont val="Arial"/>
        <family val="2"/>
      </rPr>
      <t>post</t>
    </r>
    <r>
      <rPr>
        <sz val="12"/>
        <rFont val="Arial"/>
        <family val="2"/>
      </rPr>
      <t xml:space="preserve"> =</t>
    </r>
  </si>
  <si>
    <t>One-year, 24-hour rainfall (in)=</t>
  </si>
  <si>
    <r>
      <t>CN</t>
    </r>
    <r>
      <rPr>
        <vertAlign val="subscript"/>
        <sz val="12"/>
        <rFont val="Arial"/>
        <family val="2"/>
      </rPr>
      <t>adjusted</t>
    </r>
    <r>
      <rPr>
        <sz val="12"/>
        <rFont val="Arial"/>
        <family val="2"/>
      </rPr>
      <t xml:space="preserve"> = CN</t>
    </r>
    <r>
      <rPr>
        <vertAlign val="subscript"/>
        <sz val="12"/>
        <rFont val="Arial"/>
        <family val="2"/>
      </rPr>
      <t>p</t>
    </r>
    <r>
      <rPr>
        <sz val="12"/>
        <rFont val="Arial"/>
        <family val="2"/>
      </rPr>
      <t xml:space="preserve"> + [(P</t>
    </r>
    <r>
      <rPr>
        <vertAlign val="subscript"/>
        <sz val="12"/>
        <rFont val="Arial"/>
        <family val="2"/>
      </rPr>
      <t>imp</t>
    </r>
    <r>
      <rPr>
        <sz val="12"/>
        <rFont val="Arial"/>
        <family val="2"/>
      </rPr>
      <t>/100)*(98-CN</t>
    </r>
    <r>
      <rPr>
        <vertAlign val="subscript"/>
        <sz val="12"/>
        <rFont val="Arial"/>
        <family val="2"/>
      </rPr>
      <t>p</t>
    </r>
    <r>
      <rPr>
        <sz val="12"/>
        <rFont val="Arial"/>
        <family val="2"/>
      </rPr>
      <t>)*(1-(0.5*R))]</t>
    </r>
  </si>
  <si>
    <r>
      <t>CN</t>
    </r>
    <r>
      <rPr>
        <vertAlign val="subscript"/>
        <sz val="12"/>
        <rFont val="Arial"/>
        <family val="2"/>
      </rPr>
      <t>adjusted</t>
    </r>
    <r>
      <rPr>
        <sz val="12"/>
        <rFont val="Arial"/>
        <family val="2"/>
      </rPr>
      <t xml:space="preserve"> = Composite Curve Number</t>
    </r>
  </si>
  <si>
    <r>
      <t>CN</t>
    </r>
    <r>
      <rPr>
        <vertAlign val="subscript"/>
        <sz val="12"/>
        <rFont val="Arial"/>
        <family val="2"/>
      </rPr>
      <t>adjusted</t>
    </r>
    <r>
      <rPr>
        <sz val="12"/>
        <rFont val="Arial"/>
        <family val="2"/>
      </rPr>
      <t>=</t>
    </r>
  </si>
  <si>
    <t>NOAA</t>
  </si>
  <si>
    <t>Stormwater Narrative (limit to 1,200 characters - attach additional pages with submittal if necessary):</t>
  </si>
  <si>
    <t>RUNOFF CURVE NUMBERS FOR URBAN AREAS</t>
  </si>
  <si>
    <r>
      <t>Woods, Poor Condition</t>
    </r>
    <r>
      <rPr>
        <vertAlign val="superscript"/>
        <sz val="12"/>
        <color theme="1"/>
        <rFont val="Arial"/>
        <family val="2"/>
      </rPr>
      <t>1</t>
    </r>
  </si>
  <si>
    <r>
      <t>Open Space, Poor Condition</t>
    </r>
    <r>
      <rPr>
        <vertAlign val="superscript"/>
        <sz val="12"/>
        <color theme="1"/>
        <rFont val="Arial"/>
        <family val="2"/>
      </rPr>
      <t>4</t>
    </r>
  </si>
  <si>
    <r>
      <t>Woods, Fair Condition</t>
    </r>
    <r>
      <rPr>
        <vertAlign val="superscript"/>
        <sz val="12"/>
        <color theme="1"/>
        <rFont val="Arial"/>
        <family val="2"/>
      </rPr>
      <t>2</t>
    </r>
    <r>
      <rPr>
        <sz val="12"/>
        <color theme="1"/>
        <rFont val="Arial"/>
        <family val="2"/>
      </rPr>
      <t/>
    </r>
  </si>
  <si>
    <r>
      <t>Woods, Good Condition</t>
    </r>
    <r>
      <rPr>
        <vertAlign val="superscript"/>
        <sz val="12"/>
        <color theme="1"/>
        <rFont val="Arial"/>
        <family val="2"/>
      </rPr>
      <t>3</t>
    </r>
    <r>
      <rPr>
        <sz val="12"/>
        <color theme="1"/>
        <rFont val="Arial"/>
        <family val="2"/>
      </rPr>
      <t/>
    </r>
  </si>
  <si>
    <r>
      <t>Open Space, Fair Condition</t>
    </r>
    <r>
      <rPr>
        <vertAlign val="superscript"/>
        <sz val="12"/>
        <color theme="1"/>
        <rFont val="Arial"/>
        <family val="2"/>
      </rPr>
      <t>5</t>
    </r>
    <r>
      <rPr>
        <sz val="12"/>
        <color theme="1"/>
        <rFont val="Arial"/>
        <family val="2"/>
      </rPr>
      <t/>
    </r>
  </si>
  <si>
    <r>
      <t>Open Space, Good Condition</t>
    </r>
    <r>
      <rPr>
        <vertAlign val="superscript"/>
        <sz val="12"/>
        <color theme="1"/>
        <rFont val="Arial"/>
        <family val="2"/>
      </rPr>
      <t>6</t>
    </r>
    <r>
      <rPr>
        <sz val="12"/>
        <color theme="1"/>
        <rFont val="Arial"/>
        <family val="2"/>
      </rPr>
      <t/>
    </r>
  </si>
  <si>
    <r>
      <rPr>
        <vertAlign val="superscript"/>
        <sz val="12"/>
        <color theme="1"/>
        <rFont val="Arial"/>
        <family val="2"/>
      </rPr>
      <t>1</t>
    </r>
    <r>
      <rPr>
        <sz val="12"/>
        <color theme="1"/>
        <rFont val="Arial"/>
        <family val="2"/>
      </rPr>
      <t xml:space="preserve"> </t>
    </r>
    <r>
      <rPr>
        <u/>
        <sz val="12"/>
        <color theme="1"/>
        <rFont val="Arial"/>
        <family val="2"/>
      </rPr>
      <t xml:space="preserve">Poor Condition </t>
    </r>
    <r>
      <rPr>
        <sz val="12"/>
        <color theme="1"/>
        <rFont val="Arial"/>
        <family val="2"/>
      </rPr>
      <t>= Forest litter, small trees, and brush are destroyed by heavy grazing or regular burning.</t>
    </r>
  </si>
  <si>
    <r>
      <rPr>
        <vertAlign val="superscript"/>
        <sz val="12"/>
        <color theme="1"/>
        <rFont val="Arial"/>
        <family val="2"/>
      </rPr>
      <t>2</t>
    </r>
    <r>
      <rPr>
        <sz val="12"/>
        <color theme="1"/>
        <rFont val="Arial"/>
        <family val="2"/>
      </rPr>
      <t xml:space="preserve"> </t>
    </r>
    <r>
      <rPr>
        <u/>
        <sz val="12"/>
        <color theme="1"/>
        <rFont val="Arial"/>
        <family val="2"/>
      </rPr>
      <t>Fair Condition</t>
    </r>
    <r>
      <rPr>
        <sz val="12"/>
        <color theme="1"/>
        <rFont val="Arial"/>
        <family val="2"/>
      </rPr>
      <t xml:space="preserve"> = Woods are grazed but not burned, and some forest litter covers the soil.</t>
    </r>
  </si>
  <si>
    <r>
      <rPr>
        <vertAlign val="superscript"/>
        <sz val="12"/>
        <color theme="1"/>
        <rFont val="Arial"/>
        <family val="2"/>
      </rPr>
      <t>6</t>
    </r>
    <r>
      <rPr>
        <u/>
        <sz val="12"/>
        <color theme="1"/>
        <rFont val="Arial"/>
        <family val="2"/>
      </rPr>
      <t xml:space="preserve">Good Condition </t>
    </r>
    <r>
      <rPr>
        <sz val="12"/>
        <color theme="1"/>
        <rFont val="Arial"/>
        <family val="2"/>
      </rPr>
      <t>= Grass Cover &gt;75% (lawns, parks, golf courses, cemeteries, etc.)</t>
    </r>
  </si>
  <si>
    <r>
      <rPr>
        <vertAlign val="superscript"/>
        <sz val="12"/>
        <color theme="1"/>
        <rFont val="Arial"/>
        <family val="2"/>
      </rPr>
      <t>7</t>
    </r>
    <r>
      <rPr>
        <sz val="12"/>
        <color theme="1"/>
        <rFont val="Arial"/>
        <family val="2"/>
      </rPr>
      <t>Includes paved/gravel/compacted soil driveways and roads, roofs, etc.</t>
    </r>
  </si>
  <si>
    <r>
      <t>Impervious</t>
    </r>
    <r>
      <rPr>
        <vertAlign val="superscript"/>
        <sz val="12"/>
        <color theme="1"/>
        <rFont val="Arial"/>
        <family val="2"/>
      </rPr>
      <t>8</t>
    </r>
  </si>
  <si>
    <r>
      <rPr>
        <vertAlign val="superscript"/>
        <sz val="12"/>
        <color theme="1"/>
        <rFont val="Arial"/>
        <family val="2"/>
      </rPr>
      <t>8</t>
    </r>
    <r>
      <rPr>
        <sz val="12"/>
        <color theme="1"/>
        <rFont val="Arial"/>
        <family val="2"/>
      </rPr>
      <t>Includes paved/gravel/compacted soil driveways and roads, roofs, etc.</t>
    </r>
  </si>
  <si>
    <t>Reforestation (in dedicated OS)</t>
  </si>
  <si>
    <t>JURISDICTION</t>
  </si>
  <si>
    <t>Wendell</t>
  </si>
  <si>
    <t>Rolesville</t>
  </si>
  <si>
    <t>Zebulon</t>
  </si>
  <si>
    <t>S= Potential max retention after runoff begins (in) = (1000/CN)-10</t>
  </si>
  <si>
    <t>Site Acreage =</t>
  </si>
  <si>
    <r>
      <t xml:space="preserve"> Minimum Volume to be Managed (Total Site) Per TCN Requirement= ft</t>
    </r>
    <r>
      <rPr>
        <vertAlign val="superscript"/>
        <sz val="12"/>
        <color theme="1"/>
        <rFont val="Arial"/>
        <family val="2"/>
      </rPr>
      <t>3</t>
    </r>
    <r>
      <rPr>
        <sz val="12"/>
        <color theme="1"/>
        <rFont val="Arial"/>
        <family val="2"/>
      </rPr>
      <t xml:space="preserve"> =</t>
    </r>
  </si>
  <si>
    <t>Woods, Poor Condition</t>
  </si>
  <si>
    <r>
      <t>Woods, Good Condition</t>
    </r>
    <r>
      <rPr>
        <sz val="12"/>
        <color theme="1"/>
        <rFont val="Arial"/>
        <family val="2"/>
      </rPr>
      <t/>
    </r>
  </si>
  <si>
    <t>Open Space, Poor Condition</t>
  </si>
  <si>
    <r>
      <t>Open Space, Fair Condition</t>
    </r>
    <r>
      <rPr>
        <sz val="12"/>
        <color theme="1"/>
        <rFont val="Arial"/>
        <family val="2"/>
      </rPr>
      <t/>
    </r>
  </si>
  <si>
    <r>
      <t>Open Space, Good Condition</t>
    </r>
    <r>
      <rPr>
        <sz val="12"/>
        <color theme="1"/>
        <rFont val="Arial"/>
        <family val="2"/>
      </rPr>
      <t/>
    </r>
  </si>
  <si>
    <r>
      <t>Woods, Fair Condition</t>
    </r>
    <r>
      <rPr>
        <sz val="12"/>
        <color theme="1"/>
        <rFont val="Arial"/>
        <family val="2"/>
      </rPr>
      <t/>
    </r>
  </si>
  <si>
    <t>Woods, Good Condition</t>
  </si>
  <si>
    <t>Woods, Fair Condition</t>
  </si>
  <si>
    <t>Open Space, Good Condition</t>
  </si>
  <si>
    <t>Open Space, Fair condition</t>
  </si>
  <si>
    <t>LAND USE  &amp; SITE DATA</t>
  </si>
  <si>
    <t>SITE FLOW</t>
  </si>
  <si>
    <t>Weighted CN:</t>
  </si>
  <si>
    <t>From Site Data</t>
  </si>
  <si>
    <t>N
Export</t>
  </si>
  <si>
    <t>TN export 
coefficient 
(lbs/ac/yr)</t>
  </si>
  <si>
    <t>Nitrogen 
Removal 
Efficiency</t>
  </si>
  <si>
    <t>BMP SUMMARY</t>
  </si>
  <si>
    <t>Site Nitrogen Loading Data</t>
  </si>
  <si>
    <t>Site 
Acreage</t>
  </si>
  <si>
    <t>HSG</t>
  </si>
  <si>
    <t>DRAINAGE AREA 1 - BMP DEVICES AND ADJUSTMENTS</t>
  </si>
  <si>
    <t>TOTAL SITE NITROGEN TO MITIGATE (lbs/yr)=</t>
  </si>
  <si>
    <t>N-EXPORT COEFFICIENTS</t>
  </si>
  <si>
    <t>Sub-DA1(a) 
(Ac)</t>
  </si>
  <si>
    <t>Sub-DA1(b) 
(Ac)</t>
  </si>
  <si>
    <t>Sub-DA1(c) 
(Ac)</t>
  </si>
  <si>
    <t>Sub-DA1(d) 
(Ac)</t>
  </si>
  <si>
    <t>Site</t>
  </si>
  <si>
    <t>Off-site</t>
  </si>
  <si>
    <t>lbs</t>
  </si>
  <si>
    <r>
      <t>Device Type</t>
    </r>
    <r>
      <rPr>
        <u/>
        <sz val="9"/>
        <color theme="1"/>
        <rFont val="Arial"/>
        <family val="2"/>
      </rPr>
      <t/>
    </r>
  </si>
  <si>
    <t>Sub-DA1(b) BMP(s)</t>
  </si>
  <si>
    <t>Sub-DA1(a) BMP(s)</t>
  </si>
  <si>
    <t>Sub-DA1(d) BMP(s)</t>
  </si>
  <si>
    <t>SITE NITROGEN LOADING RATE (lbs/ac/yr)=</t>
  </si>
  <si>
    <t>pre_ALL HSG</t>
  </si>
  <si>
    <t>post_ALL HSG</t>
  </si>
  <si>
    <t>Total Acreage - To Hide</t>
  </si>
  <si>
    <t>TARGET CURVE NUMBER (TCN)</t>
  </si>
  <si>
    <t>TO HIDE</t>
  </si>
  <si>
    <r>
      <t>TABLE 4-1, TR-55
I</t>
    </r>
    <r>
      <rPr>
        <vertAlign val="subscript"/>
        <sz val="14"/>
        <rFont val="Arial"/>
        <family val="2"/>
      </rPr>
      <t>a</t>
    </r>
    <r>
      <rPr>
        <sz val="14"/>
        <rFont val="Arial"/>
        <family val="2"/>
      </rPr>
      <t xml:space="preserve"> values for runoff curve numbers</t>
    </r>
  </si>
  <si>
    <r>
      <t>I</t>
    </r>
    <r>
      <rPr>
        <b/>
        <vertAlign val="subscript"/>
        <sz val="12"/>
        <rFont val="Arial"/>
        <family val="2"/>
      </rPr>
      <t>a</t>
    </r>
    <r>
      <rPr>
        <b/>
        <sz val="12"/>
        <rFont val="Arial"/>
        <family val="2"/>
      </rPr>
      <t xml:space="preserve"> (in)</t>
    </r>
  </si>
  <si>
    <t>to hide</t>
  </si>
  <si>
    <t>Sub-DA1(e) 
(Ac)</t>
  </si>
  <si>
    <t>Sub-DA1 (c) BMP(s)</t>
  </si>
  <si>
    <r>
      <t>Total Runoff Volume (ft</t>
    </r>
    <r>
      <rPr>
        <vertAlign val="superscript"/>
        <sz val="12"/>
        <color theme="1"/>
        <rFont val="Arial"/>
        <family val="2"/>
      </rPr>
      <t>3</t>
    </r>
    <r>
      <rPr>
        <sz val="12"/>
        <color theme="1"/>
        <rFont val="Arial"/>
        <family val="2"/>
      </rPr>
      <t>)=</t>
    </r>
  </si>
  <si>
    <t>Total Site Area (Ac):</t>
  </si>
  <si>
    <t>Existing Lake/Pond Area (Ac):</t>
  </si>
  <si>
    <t>Type of Development (Select from Dropdown menu):</t>
  </si>
  <si>
    <t>Municipal Jurisdiction (Select from dropdown menu):</t>
  </si>
  <si>
    <t>.2 MAY CHANGE TO .05 LATER</t>
  </si>
  <si>
    <t>Average Impervious Surface Area Per Lot (SF):</t>
  </si>
  <si>
    <t>Lake/Pond Area not in the Tc flow path (Acres)=</t>
  </si>
  <si>
    <t>Total Lake/Pond Area (Acres)=</t>
  </si>
  <si>
    <t>Limitations:</t>
  </si>
  <si>
    <t>This method should be used only if the weighted CN is greater than 40.</t>
  </si>
  <si>
    <t>The watershed must be hydrologically homogeneous</t>
  </si>
  <si>
    <t>When this method is used to develop estimates of peak discharge for both pre and post development, use the same procedure for estimating Tc.</t>
  </si>
  <si>
    <r>
      <t>The watershed may have only one main stream or, if more than one, the branches must have nearly equal T</t>
    </r>
    <r>
      <rPr>
        <vertAlign val="subscript"/>
        <sz val="11"/>
        <rFont val="Arial"/>
        <family val="2"/>
      </rPr>
      <t>c</t>
    </r>
    <r>
      <rPr>
        <sz val="11"/>
        <rFont val="Arial"/>
        <family val="2"/>
      </rPr>
      <t>'s.</t>
    </r>
  </si>
  <si>
    <r>
      <t>The Fp factor can be applied only for ponds or swamps that are not in the T</t>
    </r>
    <r>
      <rPr>
        <vertAlign val="subscript"/>
        <sz val="11"/>
        <rFont val="Arial"/>
        <family val="2"/>
      </rPr>
      <t>c</t>
    </r>
    <r>
      <rPr>
        <sz val="11"/>
        <rFont val="Arial"/>
        <family val="2"/>
      </rPr>
      <t xml:space="preserve"> flow path</t>
    </r>
  </si>
  <si>
    <t>1-Year, 24-Hour Storm (inches) (See NOAA Website):</t>
  </si>
  <si>
    <t>2-Year, 24-Hour Storm (inches) (See NOAA Website):</t>
  </si>
  <si>
    <t>Average Lot Size (SF):</t>
  </si>
  <si>
    <r>
      <t>P</t>
    </r>
    <r>
      <rPr>
        <vertAlign val="subscript"/>
        <sz val="12"/>
        <rFont val="Arial"/>
        <family val="2"/>
      </rPr>
      <t>imp</t>
    </r>
    <r>
      <rPr>
        <sz val="12"/>
        <rFont val="Arial"/>
        <family val="2"/>
      </rPr>
      <t xml:space="preserve"> (for account for % over 30) - still uses 30=</t>
    </r>
  </si>
  <si>
    <t>Device Name (As Shown on Plan)</t>
  </si>
  <si>
    <t xml:space="preserve"> LINKS/COMMENTS</t>
  </si>
  <si>
    <t xml:space="preserve">ENTER ACREAGE FOR ALL SUB-DRAINAGE AREAS IN DA </t>
  </si>
  <si>
    <t>Note:
High density projects must use BMPs with 85% TSS removal (Bioretention, Stormwater Wetland, Wet Detention Pond, Sand Filter, and/or Infiltration Device).</t>
  </si>
  <si>
    <t>Drawdown Time
(hours)</t>
  </si>
  <si>
    <t>S</t>
  </si>
  <si>
    <t>LOW IMPACT DEVELOPMENT SUMMARY</t>
  </si>
  <si>
    <t>TOTAL SITE NITROGEN MITIGATED (lbs)=</t>
  </si>
  <si>
    <r>
      <t>Peak Flow (cfs)=Q</t>
    </r>
    <r>
      <rPr>
        <vertAlign val="subscript"/>
        <sz val="12"/>
        <color theme="1"/>
        <rFont val="Arial"/>
        <family val="2"/>
      </rPr>
      <t xml:space="preserve">2-year </t>
    </r>
    <r>
      <rPr>
        <sz val="12"/>
        <color theme="1"/>
        <rFont val="Arial"/>
        <family val="2"/>
      </rPr>
      <t>=</t>
    </r>
  </si>
  <si>
    <r>
      <t>Q</t>
    </r>
    <r>
      <rPr>
        <b/>
        <vertAlign val="subscript"/>
        <sz val="12"/>
        <rFont val="Arial"/>
        <family val="2"/>
      </rPr>
      <t xml:space="preserve">2-year </t>
    </r>
    <r>
      <rPr>
        <b/>
        <sz val="12"/>
        <rFont val="Arial"/>
        <family val="2"/>
      </rPr>
      <t xml:space="preserve">= </t>
    </r>
  </si>
  <si>
    <r>
      <t>Q</t>
    </r>
    <r>
      <rPr>
        <b/>
        <vertAlign val="subscript"/>
        <sz val="12"/>
        <rFont val="Arial"/>
        <family val="2"/>
      </rPr>
      <t xml:space="preserve">10-year </t>
    </r>
    <r>
      <rPr>
        <b/>
        <sz val="12"/>
        <rFont val="Arial"/>
        <family val="2"/>
      </rPr>
      <t xml:space="preserve">= </t>
    </r>
  </si>
  <si>
    <t>Two-year, 24-hour rainfall (in)=</t>
  </si>
  <si>
    <t>Q*(1-year)=</t>
  </si>
  <si>
    <t>Q*(2-year)=</t>
  </si>
  <si>
    <t>Q*(10-year)=</t>
  </si>
  <si>
    <r>
      <rPr>
        <vertAlign val="superscript"/>
        <sz val="12"/>
        <color theme="1"/>
        <rFont val="Arial"/>
        <family val="2"/>
      </rPr>
      <t>3</t>
    </r>
    <r>
      <rPr>
        <u/>
        <sz val="12"/>
        <color theme="1"/>
        <rFont val="Arial"/>
        <family val="2"/>
      </rPr>
      <t xml:space="preserve">Good Condition </t>
    </r>
    <r>
      <rPr>
        <sz val="12"/>
        <color theme="1"/>
        <rFont val="Arial"/>
        <family val="2"/>
      </rPr>
      <t>= Woods that are protected from grazing, litter, and brush adequately cover the soil</t>
    </r>
  </si>
  <si>
    <r>
      <rPr>
        <vertAlign val="superscript"/>
        <sz val="12"/>
        <color theme="1"/>
        <rFont val="Arial"/>
        <family val="2"/>
      </rPr>
      <t>4</t>
    </r>
    <r>
      <rPr>
        <u/>
        <sz val="12"/>
        <color theme="1"/>
        <rFont val="Arial"/>
        <family val="2"/>
      </rPr>
      <t xml:space="preserve">Poor Condition </t>
    </r>
    <r>
      <rPr>
        <sz val="12"/>
        <color theme="1"/>
        <rFont val="Arial"/>
        <family val="2"/>
      </rPr>
      <t>= Grass Cover &lt;50% (lawns, parks, golf courses, cemeteries, etc.)</t>
    </r>
  </si>
  <si>
    <r>
      <rPr>
        <vertAlign val="superscript"/>
        <sz val="12"/>
        <color theme="1"/>
        <rFont val="Arial"/>
        <family val="2"/>
      </rPr>
      <t>5</t>
    </r>
    <r>
      <rPr>
        <u/>
        <sz val="12"/>
        <color theme="1"/>
        <rFont val="Arial"/>
        <family val="2"/>
      </rPr>
      <t xml:space="preserve">Fair Condition </t>
    </r>
    <r>
      <rPr>
        <sz val="12"/>
        <color theme="1"/>
        <rFont val="Arial"/>
        <family val="2"/>
      </rPr>
      <t>= Grass Cover = 50% - 75% (lawns, parks, golf courses, cemeteries, etc.)</t>
    </r>
  </si>
  <si>
    <r>
      <t>Runoff (in) = Q</t>
    </r>
    <r>
      <rPr>
        <vertAlign val="subscript"/>
        <sz val="12"/>
        <color theme="1"/>
        <rFont val="Arial"/>
        <family val="2"/>
      </rPr>
      <t xml:space="preserve">pre_2-year </t>
    </r>
    <r>
      <rPr>
        <sz val="12"/>
        <color theme="1"/>
        <rFont val="Arial"/>
        <family val="2"/>
      </rPr>
      <t>=</t>
    </r>
  </si>
  <si>
    <t>1-year, 24-hour storm</t>
  </si>
  <si>
    <t>Nitrogen Mitigated(lbs)=</t>
  </si>
  <si>
    <r>
      <rPr>
        <b/>
        <sz val="12"/>
        <color theme="1"/>
        <rFont val="Arial"/>
        <family val="2"/>
      </rPr>
      <t>LID CHECKLIST</t>
    </r>
    <r>
      <rPr>
        <sz val="12"/>
        <color theme="1"/>
        <rFont val="Arial"/>
        <family val="2"/>
      </rPr>
      <t xml:space="preserve">
Complete the below checklist if all requirements have been met above:</t>
    </r>
  </si>
  <si>
    <t>On-site infiltration</t>
  </si>
  <si>
    <r>
      <rPr>
        <b/>
        <sz val="12"/>
        <color theme="1"/>
        <rFont val="Arial"/>
        <family val="2"/>
      </rPr>
      <t xml:space="preserve">LID Techniques (check all that apply)
</t>
    </r>
    <r>
      <rPr>
        <sz val="12"/>
        <color theme="1"/>
        <rFont val="Arial"/>
        <family val="2"/>
      </rPr>
      <t xml:space="preserve">At least </t>
    </r>
    <r>
      <rPr>
        <b/>
        <sz val="12"/>
        <color theme="1"/>
        <rFont val="Arial"/>
        <family val="2"/>
      </rPr>
      <t>one</t>
    </r>
    <r>
      <rPr>
        <sz val="12"/>
        <color theme="1"/>
        <rFont val="Arial"/>
        <family val="2"/>
      </rPr>
      <t xml:space="preserve"> of the following techniques must be used to achieve LID classification: </t>
    </r>
  </si>
  <si>
    <t>Retention of 50% of vegetated area, including open space, landscaping or forests</t>
  </si>
  <si>
    <t>Use of reclaimed water for all buildings</t>
  </si>
  <si>
    <t>Use of innovative LID techniques subject to approval</t>
  </si>
  <si>
    <t>Increasing all buffers in the Riparian buffer zone or the Flood Protection Zone, whichever is greater, by 50 feet</t>
  </si>
  <si>
    <t>Installation of vegetative roofs</t>
  </si>
  <si>
    <t>Installation of one rain cistern per lot or three rain barrels per lot</t>
  </si>
  <si>
    <r>
      <t>P</t>
    </r>
    <r>
      <rPr>
        <vertAlign val="subscript"/>
        <sz val="12"/>
        <color theme="1"/>
        <rFont val="Arial"/>
        <family val="2"/>
      </rPr>
      <t>2</t>
    </r>
    <r>
      <rPr>
        <sz val="12"/>
        <color theme="1"/>
        <rFont val="Arial"/>
        <family val="2"/>
      </rPr>
      <t xml:space="preserve"> = </t>
    </r>
    <r>
      <rPr>
        <u/>
        <sz val="12"/>
        <color theme="1"/>
        <rFont val="Arial"/>
        <family val="2"/>
      </rPr>
      <t>2-year, 24-hour rainfall (in)</t>
    </r>
  </si>
  <si>
    <r>
      <t>Volume of runoff (ft</t>
    </r>
    <r>
      <rPr>
        <vertAlign val="superscript"/>
        <sz val="12"/>
        <color theme="1"/>
        <rFont val="Arial"/>
        <family val="2"/>
      </rPr>
      <t>3</t>
    </r>
    <r>
      <rPr>
        <sz val="12"/>
        <color theme="1"/>
        <rFont val="Arial"/>
        <family val="2"/>
      </rPr>
      <t>) =</t>
    </r>
  </si>
  <si>
    <r>
      <t>Peak Discharge (cfs)= Q</t>
    </r>
    <r>
      <rPr>
        <vertAlign val="subscript"/>
        <sz val="12"/>
        <color theme="1"/>
        <rFont val="Arial"/>
        <family val="2"/>
      </rPr>
      <t>1-year</t>
    </r>
    <r>
      <rPr>
        <sz val="12"/>
        <color theme="1"/>
        <rFont val="Arial"/>
        <family val="2"/>
      </rPr>
      <t>=</t>
    </r>
  </si>
  <si>
    <r>
      <t>Peak Discharge (cfs)= Q</t>
    </r>
    <r>
      <rPr>
        <vertAlign val="subscript"/>
        <sz val="12"/>
        <color theme="1"/>
        <rFont val="Arial"/>
        <family val="2"/>
      </rPr>
      <t>2-year</t>
    </r>
    <r>
      <rPr>
        <sz val="12"/>
        <color theme="1"/>
        <rFont val="Arial"/>
        <family val="2"/>
      </rPr>
      <t>=</t>
    </r>
  </si>
  <si>
    <r>
      <t>Peak Discharge (cfs)= Q</t>
    </r>
    <r>
      <rPr>
        <vertAlign val="subscript"/>
        <sz val="12"/>
        <color theme="1"/>
        <rFont val="Arial"/>
        <family val="2"/>
      </rPr>
      <t>10-year</t>
    </r>
    <r>
      <rPr>
        <sz val="12"/>
        <color theme="1"/>
        <rFont val="Arial"/>
        <family val="2"/>
      </rPr>
      <t>=</t>
    </r>
  </si>
  <si>
    <r>
      <t>Post BMP Peak Discharge (cfs)= Q</t>
    </r>
    <r>
      <rPr>
        <vertAlign val="subscript"/>
        <sz val="12"/>
        <color theme="1"/>
        <rFont val="Arial"/>
        <family val="2"/>
      </rPr>
      <t>1-year</t>
    </r>
    <r>
      <rPr>
        <sz val="12"/>
        <color theme="1"/>
        <rFont val="Arial"/>
        <family val="2"/>
      </rPr>
      <t>=</t>
    </r>
  </si>
  <si>
    <t>Does Runoff Volume meet LID requirements?</t>
  </si>
  <si>
    <r>
      <t xml:space="preserve">TABLE 3-9, TR-55
</t>
    </r>
    <r>
      <rPr>
        <i/>
        <sz val="14"/>
        <color theme="1"/>
        <rFont val="Arial"/>
        <family val="2"/>
      </rPr>
      <t>Rational Runoff Coefficients</t>
    </r>
  </si>
  <si>
    <r>
      <t>T</t>
    </r>
    <r>
      <rPr>
        <vertAlign val="subscript"/>
        <sz val="11"/>
        <color theme="1"/>
        <rFont val="Arial"/>
        <family val="2"/>
      </rPr>
      <t>c</t>
    </r>
    <r>
      <rPr>
        <sz val="11"/>
        <color theme="1"/>
        <rFont val="Arial"/>
        <family val="2"/>
      </rPr>
      <t xml:space="preserve"> values with this method may range from 0.1 to 10 hours. </t>
    </r>
  </si>
  <si>
    <t>10-Year, 24-Hour Storm (inches) (See NOAA Website):</t>
  </si>
  <si>
    <t>DA SITE SUMMARY</t>
  </si>
  <si>
    <t>BMP CALCULATIONS</t>
  </si>
  <si>
    <r>
      <t>Runoff (in) = Q</t>
    </r>
    <r>
      <rPr>
        <vertAlign val="subscript"/>
        <sz val="12"/>
        <color theme="1"/>
        <rFont val="Arial"/>
        <family val="2"/>
      </rPr>
      <t xml:space="preserve">pre,1-year </t>
    </r>
    <r>
      <rPr>
        <sz val="12"/>
        <color theme="1"/>
        <rFont val="Arial"/>
        <family val="2"/>
      </rPr>
      <t>=</t>
    </r>
  </si>
  <si>
    <t>TARGET RUNOFF 1-year</t>
  </si>
  <si>
    <t>PRE-DEVELOPMENT 1-year</t>
  </si>
  <si>
    <t>POST-DEVELOPMENT 1-year</t>
  </si>
  <si>
    <t>Proposed Disturbed Area (Ac):</t>
  </si>
  <si>
    <t>Total Impervious Surface Area on Lots (SF):</t>
  </si>
  <si>
    <r>
      <t>Q</t>
    </r>
    <r>
      <rPr>
        <b/>
        <vertAlign val="subscript"/>
        <sz val="12"/>
        <rFont val="Arial"/>
        <family val="2"/>
      </rPr>
      <t>p</t>
    </r>
    <r>
      <rPr>
        <b/>
        <sz val="12"/>
        <rFont val="Arial"/>
        <family val="2"/>
      </rPr>
      <t xml:space="preserve"> = q</t>
    </r>
    <r>
      <rPr>
        <b/>
        <vertAlign val="subscript"/>
        <sz val="12"/>
        <rFont val="Arial"/>
        <family val="2"/>
      </rPr>
      <t>u</t>
    </r>
    <r>
      <rPr>
        <b/>
        <sz val="12"/>
        <rFont val="Arial"/>
        <family val="2"/>
      </rPr>
      <t>AmQ*Fp</t>
    </r>
  </si>
  <si>
    <t>Lot Data (if applicable):</t>
  </si>
  <si>
    <t>Disconnected Impervious</t>
  </si>
  <si>
    <t>Connected Impervious</t>
  </si>
  <si>
    <t>disconnected(only)</t>
  </si>
  <si>
    <t>Total Nitrogen remaining leaving the subbasin (lbs):</t>
  </si>
  <si>
    <t>Sub-DA1(e) BMP(s)</t>
  </si>
  <si>
    <t>If Sub-DA1(e) is connected to upstream subbasin(s), enter the nitrogen leaving the most upstream subbasin(lbs):</t>
  </si>
  <si>
    <t>2-year, 24-hour storm (LID)</t>
  </si>
  <si>
    <t>Ten-year, 24-hour storm (in)=</t>
  </si>
  <si>
    <t>10-year, 24-hour storm (DIA)</t>
  </si>
  <si>
    <t>Post_
High Density Only</t>
  </si>
  <si>
    <t>Impervious Surface Area (acre):</t>
  </si>
  <si>
    <t>Contact Email:</t>
  </si>
  <si>
    <r>
      <t>S</t>
    </r>
    <r>
      <rPr>
        <vertAlign val="subscript"/>
        <sz val="12"/>
        <rFont val="Arial"/>
        <family val="2"/>
      </rPr>
      <t>(pervious)</t>
    </r>
    <r>
      <rPr>
        <sz val="12"/>
        <rFont val="Arial"/>
        <family val="2"/>
      </rPr>
      <t>=</t>
    </r>
  </si>
  <si>
    <r>
      <t>Q*</t>
    </r>
    <r>
      <rPr>
        <vertAlign val="subscript"/>
        <sz val="12"/>
        <rFont val="Arial"/>
        <family val="2"/>
      </rPr>
      <t>(pervious)</t>
    </r>
    <r>
      <rPr>
        <sz val="12"/>
        <rFont val="Arial"/>
        <family val="2"/>
      </rPr>
      <t>=</t>
    </r>
  </si>
  <si>
    <r>
      <t>Q</t>
    </r>
    <r>
      <rPr>
        <vertAlign val="subscript"/>
        <sz val="12"/>
        <color theme="1"/>
        <rFont val="Arial"/>
        <family val="2"/>
      </rPr>
      <t>(High)</t>
    </r>
    <r>
      <rPr>
        <sz val="12"/>
        <color theme="1"/>
        <rFont val="Arial"/>
        <family val="2"/>
      </rPr>
      <t>*=</t>
    </r>
  </si>
  <si>
    <t>SCS RUNOFF METHOD 
Low and Ultra Only</t>
  </si>
  <si>
    <t>1-year, 24-hour storm (Peak Flow)</t>
  </si>
  <si>
    <t>High Density Only</t>
  </si>
  <si>
    <r>
      <t>I</t>
    </r>
    <r>
      <rPr>
        <vertAlign val="subscript"/>
        <sz val="12"/>
        <color theme="0"/>
        <rFont val="Arial"/>
        <family val="2"/>
      </rPr>
      <t>a</t>
    </r>
    <r>
      <rPr>
        <sz val="12"/>
        <color theme="0"/>
        <rFont val="Arial"/>
        <family val="2"/>
      </rPr>
      <t xml:space="preserve"> value =</t>
    </r>
  </si>
  <si>
    <r>
      <t>I</t>
    </r>
    <r>
      <rPr>
        <vertAlign val="subscript"/>
        <sz val="12"/>
        <color theme="0"/>
        <rFont val="Arial"/>
        <family val="2"/>
      </rPr>
      <t>a</t>
    </r>
    <r>
      <rPr>
        <sz val="12"/>
        <color theme="0"/>
        <rFont val="Arial"/>
        <family val="2"/>
      </rPr>
      <t xml:space="preserve"> /P=</t>
    </r>
  </si>
  <si>
    <t>DISCRETE RUNOFF METHOD (HIGH DENSITY ONLY)</t>
  </si>
  <si>
    <t>See Discrete Runoff Method</t>
  </si>
  <si>
    <r>
      <t>Runoff (inches) = Q*</t>
    </r>
    <r>
      <rPr>
        <vertAlign val="subscript"/>
        <sz val="12"/>
        <color theme="1"/>
        <rFont val="Arial"/>
        <family val="2"/>
      </rPr>
      <t>1-year</t>
    </r>
    <r>
      <rPr>
        <sz val="12"/>
        <color theme="1"/>
        <rFont val="Arial"/>
        <family val="2"/>
      </rPr>
      <t>=</t>
    </r>
  </si>
  <si>
    <r>
      <t>Runoff (inches) = Q*</t>
    </r>
    <r>
      <rPr>
        <vertAlign val="subscript"/>
        <sz val="12"/>
        <color theme="1"/>
        <rFont val="Arial"/>
        <family val="2"/>
      </rPr>
      <t>2-year</t>
    </r>
    <r>
      <rPr>
        <sz val="12"/>
        <color theme="1"/>
        <rFont val="Arial"/>
        <family val="2"/>
      </rPr>
      <t>=</t>
    </r>
  </si>
  <si>
    <r>
      <t>Runoff (inches) = Q*</t>
    </r>
    <r>
      <rPr>
        <vertAlign val="subscript"/>
        <sz val="12"/>
        <color theme="1"/>
        <rFont val="Arial"/>
        <family val="2"/>
      </rPr>
      <t>10-year</t>
    </r>
    <r>
      <rPr>
        <sz val="12"/>
        <color theme="1"/>
        <rFont val="Arial"/>
        <family val="2"/>
      </rPr>
      <t>=</t>
    </r>
  </si>
  <si>
    <t>DRAINAGE AREA 10</t>
  </si>
  <si>
    <t>DRAINAGE AREA 9</t>
  </si>
  <si>
    <t>DRAINAGE AREA 8</t>
  </si>
  <si>
    <t>DRAINAGE AREA 7</t>
  </si>
  <si>
    <t>DRAINAGE AREA 6</t>
  </si>
  <si>
    <t>DRAINAGE AREA 5</t>
  </si>
  <si>
    <t>DRAINAGE AREA 4</t>
  </si>
  <si>
    <t>DRAINAGE AREA 3</t>
  </si>
  <si>
    <t>DRAINAGE AREA 2</t>
  </si>
  <si>
    <t>Disconnected impervious area (acre) =</t>
  </si>
  <si>
    <r>
      <t>CN</t>
    </r>
    <r>
      <rPr>
        <b/>
        <vertAlign val="subscript"/>
        <sz val="12"/>
        <rFont val="Arial"/>
        <family val="2"/>
      </rPr>
      <t>adjusted</t>
    </r>
    <r>
      <rPr>
        <b/>
        <sz val="12"/>
        <rFont val="Arial"/>
        <family val="2"/>
      </rPr>
      <t xml:space="preserve"> </t>
    </r>
    <r>
      <rPr>
        <b/>
        <vertAlign val="subscript"/>
        <sz val="12"/>
        <rFont val="Arial"/>
        <family val="2"/>
      </rPr>
      <t>(1-year)</t>
    </r>
    <r>
      <rPr>
        <b/>
        <sz val="12"/>
        <rFont val="Arial"/>
        <family val="2"/>
      </rPr>
      <t>=</t>
    </r>
  </si>
  <si>
    <t>Sheet Flow</t>
  </si>
  <si>
    <t>Shallow Flow</t>
  </si>
  <si>
    <t>Channel Flow 1</t>
  </si>
  <si>
    <t>Channel Flow 2</t>
  </si>
  <si>
    <t>Channel Flow 3</t>
  </si>
  <si>
    <r>
      <t>Post BMP CN</t>
    </r>
    <r>
      <rPr>
        <vertAlign val="subscript"/>
        <sz val="12"/>
        <color theme="1"/>
        <rFont val="Arial"/>
        <family val="2"/>
      </rPr>
      <t>(1-year)</t>
    </r>
    <r>
      <rPr>
        <sz val="12"/>
        <color theme="1"/>
        <rFont val="Arial"/>
        <family val="2"/>
      </rPr>
      <t>=</t>
    </r>
  </si>
  <si>
    <r>
      <t>Post BMP Peak Discharge (cfs)= Q</t>
    </r>
    <r>
      <rPr>
        <vertAlign val="subscript"/>
        <sz val="12"/>
        <color theme="1"/>
        <rFont val="Arial"/>
        <family val="2"/>
      </rPr>
      <t>(2-year)</t>
    </r>
    <r>
      <rPr>
        <sz val="12"/>
        <color theme="1"/>
        <rFont val="Arial"/>
        <family val="2"/>
      </rPr>
      <t>=</t>
    </r>
  </si>
  <si>
    <r>
      <t>Post BMP Runoff (inches) = Q*</t>
    </r>
    <r>
      <rPr>
        <vertAlign val="subscript"/>
        <sz val="12"/>
        <color theme="1"/>
        <rFont val="Arial"/>
        <family val="2"/>
      </rPr>
      <t>(2-year)</t>
    </r>
    <r>
      <rPr>
        <sz val="12"/>
        <color theme="1"/>
        <rFont val="Arial"/>
        <family val="2"/>
      </rPr>
      <t>=</t>
    </r>
  </si>
  <si>
    <r>
      <t>Post BMP Peak Discharge (cfs)= Q</t>
    </r>
    <r>
      <rPr>
        <vertAlign val="subscript"/>
        <sz val="12"/>
        <color theme="1"/>
        <rFont val="Arial"/>
        <family val="2"/>
      </rPr>
      <t>(10-year)</t>
    </r>
    <r>
      <rPr>
        <sz val="12"/>
        <color theme="1"/>
        <rFont val="Arial"/>
        <family val="2"/>
      </rPr>
      <t>=</t>
    </r>
  </si>
  <si>
    <r>
      <t>Post BMP Runoff (inches) = Q*</t>
    </r>
    <r>
      <rPr>
        <vertAlign val="subscript"/>
        <sz val="12"/>
        <color theme="1"/>
        <rFont val="Arial"/>
        <family val="2"/>
      </rPr>
      <t>(1-year)</t>
    </r>
    <r>
      <rPr>
        <sz val="12"/>
        <color theme="1"/>
        <rFont val="Arial"/>
        <family val="2"/>
      </rPr>
      <t>=</t>
    </r>
  </si>
  <si>
    <t>DA1 Off-Site Acreage=</t>
  </si>
  <si>
    <t>DA1 Site Acreage=</t>
  </si>
  <si>
    <r>
      <t>Post BMP Volume of Runoff (ft3)</t>
    </r>
    <r>
      <rPr>
        <vertAlign val="subscript"/>
        <sz val="12"/>
        <color theme="1"/>
        <rFont val="Arial"/>
        <family val="2"/>
      </rPr>
      <t>(2-year)</t>
    </r>
    <r>
      <rPr>
        <sz val="12"/>
        <color theme="1"/>
        <rFont val="Arial"/>
        <family val="2"/>
      </rPr>
      <t>=</t>
    </r>
  </si>
  <si>
    <t>Post volume (10-year)=</t>
  </si>
  <si>
    <t>Adjusted CN Table</t>
  </si>
  <si>
    <t>Q*1-year</t>
  </si>
  <si>
    <t>Q*2-year</t>
  </si>
  <si>
    <t>Q*10-year</t>
  </si>
  <si>
    <t>Note: 
Engineers are required to input post BMP peak flow and Tc for the 1-year, 2-year, and 10-year storms for each DA. The SW Design Tool uses the TR-55 method. The TR-55 method is preferred for post BMP calculations. If engineer uses a method/model other than TR-55 for the post-BMP peak discharge and runoff, engineer must also provide pre-development calculations from the method/model (in addition to the SW Design Tool) and pre-development calculations must be within 10% of results computed by the SW Design Tool). A summary sheet should be attached with the submittal to for all inputs used in design.</t>
  </si>
  <si>
    <r>
      <t>Runoff (in)=Q*</t>
    </r>
    <r>
      <rPr>
        <vertAlign val="subscript"/>
        <sz val="12"/>
        <color theme="1"/>
        <rFont val="Arial"/>
        <family val="2"/>
      </rPr>
      <t xml:space="preserve">1-year </t>
    </r>
    <r>
      <rPr>
        <sz val="12"/>
        <color theme="1"/>
        <rFont val="Arial"/>
        <family val="2"/>
      </rPr>
      <t>=</t>
    </r>
  </si>
  <si>
    <r>
      <t>Runoff (in)=Q</t>
    </r>
    <r>
      <rPr>
        <vertAlign val="subscript"/>
        <sz val="12"/>
        <color theme="1"/>
        <rFont val="Arial"/>
        <family val="2"/>
      </rPr>
      <t>1-year</t>
    </r>
    <r>
      <rPr>
        <sz val="12"/>
        <color theme="1"/>
        <rFont val="Arial"/>
        <family val="2"/>
      </rPr>
      <t xml:space="preserve"> =</t>
    </r>
  </si>
  <si>
    <t>Post-Development (1-year, 24-hour storm)</t>
  </si>
  <si>
    <t>Pre-Development (1-year, 24-hour storm)</t>
  </si>
  <si>
    <t>DA1 BMP SUMMARY</t>
  </si>
  <si>
    <r>
      <t>Post BMP Runoff (inches) = Q*</t>
    </r>
    <r>
      <rPr>
        <vertAlign val="subscript"/>
        <sz val="12"/>
        <color theme="1"/>
        <rFont val="Arial"/>
        <family val="2"/>
      </rPr>
      <t>(1-year)</t>
    </r>
    <r>
      <rPr>
        <sz val="12"/>
        <color theme="1"/>
        <rFont val="Arial"/>
        <family val="2"/>
      </rPr>
      <t>=</t>
    </r>
  </si>
  <si>
    <r>
      <t>Post BMP CN</t>
    </r>
    <r>
      <rPr>
        <vertAlign val="subscript"/>
        <sz val="12"/>
        <color theme="1"/>
        <rFont val="Arial"/>
        <family val="2"/>
      </rPr>
      <t>(1-year)</t>
    </r>
    <r>
      <rPr>
        <sz val="12"/>
        <color theme="1"/>
        <rFont val="Arial"/>
        <family val="2"/>
      </rPr>
      <t>=</t>
    </r>
  </si>
  <si>
    <r>
      <t>Post BMP Runoff (inches) = Q*</t>
    </r>
    <r>
      <rPr>
        <vertAlign val="subscript"/>
        <sz val="12"/>
        <color theme="1"/>
        <rFont val="Arial"/>
        <family val="2"/>
      </rPr>
      <t>(2-year)</t>
    </r>
    <r>
      <rPr>
        <sz val="12"/>
        <color theme="1"/>
        <rFont val="Arial"/>
        <family val="2"/>
      </rPr>
      <t>=</t>
    </r>
  </si>
  <si>
    <r>
      <t>Post BMP CN</t>
    </r>
    <r>
      <rPr>
        <vertAlign val="subscript"/>
        <sz val="12"/>
        <color theme="1"/>
        <rFont val="Arial"/>
        <family val="2"/>
      </rPr>
      <t>(2-year)</t>
    </r>
    <r>
      <rPr>
        <sz val="12"/>
        <color theme="1"/>
        <rFont val="Arial"/>
        <family val="2"/>
      </rPr>
      <t>=</t>
    </r>
  </si>
  <si>
    <r>
      <t>Post BMP Runoff (inches) = Q*</t>
    </r>
    <r>
      <rPr>
        <vertAlign val="subscript"/>
        <sz val="12"/>
        <color theme="1"/>
        <rFont val="Arial"/>
        <family val="2"/>
      </rPr>
      <t>(10-year)</t>
    </r>
    <r>
      <rPr>
        <sz val="12"/>
        <color theme="1"/>
        <rFont val="Arial"/>
        <family val="2"/>
      </rPr>
      <t>=</t>
    </r>
  </si>
  <si>
    <r>
      <t>Post BMP CN(</t>
    </r>
    <r>
      <rPr>
        <vertAlign val="subscript"/>
        <sz val="12"/>
        <color theme="1"/>
        <rFont val="Arial"/>
        <family val="2"/>
      </rPr>
      <t>10-year</t>
    </r>
    <r>
      <rPr>
        <sz val="12"/>
        <color theme="1"/>
        <rFont val="Arial"/>
        <family val="2"/>
      </rPr>
      <t>)=</t>
    </r>
  </si>
  <si>
    <r>
      <t>Reforestation (in dedicated OS)</t>
    </r>
    <r>
      <rPr>
        <vertAlign val="superscript"/>
        <sz val="12"/>
        <color theme="1"/>
        <rFont val="Arial"/>
        <family val="2"/>
      </rPr>
      <t>7</t>
    </r>
  </si>
  <si>
    <t>CLICK TO ADD ANOTHER DRAINAGE AREA</t>
  </si>
  <si>
    <t>OR</t>
  </si>
  <si>
    <t>CONTINUE TO SITE SUMMARY</t>
  </si>
  <si>
    <t>CLICK TO EDIT DA 1</t>
  </si>
  <si>
    <t>CLICK TO EDIT DA 2</t>
  </si>
  <si>
    <t>CLICK TO EDIT DA 3</t>
  </si>
  <si>
    <t>CLICK TO EDIT DA 4</t>
  </si>
  <si>
    <t>CLICK TO EDIT DA 5</t>
  </si>
  <si>
    <t>CLICK TO EDIT DA 6</t>
  </si>
  <si>
    <t>CLICK TO EDIT DA 7</t>
  </si>
  <si>
    <t>CLICK TO EDIT DA 8</t>
  </si>
  <si>
    <t>CLICK TO EDIT DA 9</t>
  </si>
  <si>
    <t>CLICK TO EDIT DA 10</t>
  </si>
  <si>
    <t>CLICK TO ADD BMPs</t>
  </si>
  <si>
    <t>CLICK TO ADD BMPS TO ANOTHER DRAINAGE AREA</t>
  </si>
  <si>
    <t>CONTINUE TO BMP SUMMARY</t>
  </si>
  <si>
    <t>RETURN TO SITE SUMMARY</t>
  </si>
  <si>
    <t>CLICK TO EDIT DA1_BMPs</t>
  </si>
  <si>
    <t>CLICK TO EDIT DA6_BMPs</t>
  </si>
  <si>
    <t>CLICK TO EDIT DA2_BMPs</t>
  </si>
  <si>
    <t>CLICK TO EDIT DA3_BMPs</t>
  </si>
  <si>
    <t>CLICK TO EDIT DA4_BMPs</t>
  </si>
  <si>
    <t>CLICK TO EDIT DA5_BMPs</t>
  </si>
  <si>
    <t>CLICK TO EDIT DA7_BMPs</t>
  </si>
  <si>
    <t>CLICK TO EDIT DA8_BMPs</t>
  </si>
  <si>
    <t>CLICK TO EDIT DA9_BMPs</t>
  </si>
  <si>
    <t>CLICK TO EDIT DA10_BMPs</t>
  </si>
  <si>
    <t>CONTINUE TO LID SUMMARY</t>
  </si>
  <si>
    <r>
      <t>Post BMP CN</t>
    </r>
    <r>
      <rPr>
        <vertAlign val="subscript"/>
        <sz val="12"/>
        <color rgb="FFFF0000"/>
        <rFont val="Arial"/>
        <family val="2"/>
      </rPr>
      <t>(2-year)</t>
    </r>
    <r>
      <rPr>
        <sz val="12"/>
        <color rgb="FFFF0000"/>
        <rFont val="Arial"/>
        <family val="2"/>
      </rPr>
      <t>=</t>
    </r>
  </si>
  <si>
    <t>DOWNSTREAM IMPACT ANALYSIS SITE SUMMARY</t>
  </si>
  <si>
    <r>
      <t>Post BMP Volume of Runoff (ft</t>
    </r>
    <r>
      <rPr>
        <vertAlign val="superscript"/>
        <sz val="12"/>
        <color theme="1"/>
        <rFont val="Arial"/>
        <family val="2"/>
      </rPr>
      <t>3</t>
    </r>
    <r>
      <rPr>
        <sz val="12"/>
        <color theme="1"/>
        <rFont val="Arial"/>
        <family val="2"/>
      </rPr>
      <t>)</t>
    </r>
    <r>
      <rPr>
        <vertAlign val="subscript"/>
        <sz val="12"/>
        <color theme="1"/>
        <rFont val="Arial"/>
        <family val="2"/>
      </rPr>
      <t>(1-year)</t>
    </r>
    <r>
      <rPr>
        <sz val="12"/>
        <color theme="1"/>
        <rFont val="Arial"/>
        <family val="2"/>
      </rPr>
      <t>=</t>
    </r>
  </si>
  <si>
    <r>
      <t>Post BMP Volume of Runoff (ft</t>
    </r>
    <r>
      <rPr>
        <vertAlign val="superscript"/>
        <sz val="12"/>
        <color theme="1"/>
        <rFont val="Arial"/>
        <family val="2"/>
      </rPr>
      <t>3</t>
    </r>
    <r>
      <rPr>
        <sz val="12"/>
        <color theme="1"/>
        <rFont val="Arial"/>
        <family val="2"/>
      </rPr>
      <t>)</t>
    </r>
    <r>
      <rPr>
        <vertAlign val="subscript"/>
        <sz val="12"/>
        <color theme="1"/>
        <rFont val="Arial"/>
        <family val="2"/>
      </rPr>
      <t>(10-year)</t>
    </r>
    <r>
      <rPr>
        <sz val="12"/>
        <color theme="1"/>
        <rFont val="Arial"/>
        <family val="2"/>
      </rPr>
      <t>=</t>
    </r>
  </si>
  <si>
    <t>The 2-yr, 24-hr rainfall input will be used for projects requesting LID classification further into the tool. The 10-year, 24-hour rainfall input will be used for potential Downstream Impact Analyses (DIA).</t>
  </si>
  <si>
    <t xml:space="preserve">Complete DA worksheets. Most of the site data is inputted by the engineer on the DA worksheets. DA worksheets are designed essentially to account for Ultra-Low, Low, and High Density project requirements per Ordinance standards. </t>
  </si>
  <si>
    <t>DA Worksheets will calculate runoff, time of concentration, peak flow, and volume to be managed per drainage area. Inputs will also be used to calculate the site composite curve numbers for pre and post development, Target Curve Number (TCN), and total nitrogen loading (TN) calculations.</t>
  </si>
  <si>
    <t>This sheet will also calculate required volume management for the 1st inch rainfall for high density projects. 1st inch of runoff should be handled by each DA BMP for High Density projects.</t>
  </si>
  <si>
    <r>
      <t>Disconnected Impervious - This area will be used to provide an adjusted post development composite curve number (CN</t>
    </r>
    <r>
      <rPr>
        <vertAlign val="subscript"/>
        <sz val="12"/>
        <color theme="1"/>
        <rFont val="Arial"/>
        <family val="2"/>
      </rPr>
      <t>adjusted</t>
    </r>
    <r>
      <rPr>
        <sz val="12"/>
        <color theme="1"/>
        <rFont val="Arial"/>
        <family val="2"/>
      </rPr>
      <t>) to allow a credit for the use of disconnected impervious. Site plans should clearly indicate areas of disconnected impervious.</t>
    </r>
  </si>
  <si>
    <t>TCN and composite curve numbers for pre and post development are also calculated and summarized. If the TCN is exceeded, this worksheet will calculate total volume to be managed for the entire site based on TCN requirements.</t>
  </si>
  <si>
    <r>
      <t xml:space="preserve">Note: There are no engineer inputs on this sheet and all exeedances from DA worksheets will be flagged in </t>
    </r>
    <r>
      <rPr>
        <b/>
        <sz val="12"/>
        <color theme="5"/>
        <rFont val="Arial"/>
        <family val="2"/>
      </rPr>
      <t>red</t>
    </r>
    <r>
      <rPr>
        <sz val="12"/>
        <rFont val="Arial"/>
        <family val="2"/>
      </rPr>
      <t>.</t>
    </r>
  </si>
  <si>
    <t xml:space="preserve">DA BMP worksheets require engineer to input proposed BMP information. BMPs are categorized by sub-basins within the drainage area. Engineer should input BMP device name, type, and volume provided. BMP requirements are automatically imported from previous inputs. </t>
  </si>
  <si>
    <t xml:space="preserve">BMPs are required in each DA where post-development peak flow is higher than pre-development peak flow. Only under special circumstances will a BMP not be required. In these cases, the engineer must show the following:
1. Total runoff volume for the DA must be less than 10% of the entire site runoff. 
2. TN must be handled for the site elsewhere.
3. Runoff must not leave the DA at an erosive velocity.
4. Proposed design must comply with all state and federal regulations. </t>
  </si>
  <si>
    <t>Note: Engineers are required to input post BMP peak flow for the 1-year, 2-year, and 10-year storms for each DA. The SW Design Tool uses the TR-55 method. The TR-55 method is preferred for post BMP calculations. If engineer uses a method/model other than TR-55 for the post-BMP peak discharge and runoff, engineer must also provide pre-development calculations from the method/model (in addition to the SW Design Tool) and pre-development calculations must be within 10% of results computed by the SW Design Tool). A summary sheet should be attached with the submittal to for all inputs used in design.</t>
  </si>
  <si>
    <t xml:space="preserve">LID worksheet summarizes the pre and post runoff, Tc, and peak flow per drainage area for the 2-year, 24-hour storm based on inputs from DA  and BMP worksheets.  This worksheet will determine if design calculations provided meet LID classification. </t>
  </si>
  <si>
    <t xml:space="preserve">Engineers may wish to modify site design or mitigate with additional BMPs to meet LID Requirements. In that case, DA and BMP worksheets should be modified to meet these requirements and the LID sheet will be updated automatically. </t>
  </si>
  <si>
    <r>
      <t xml:space="preserve">If calculation requirements for LID are met, Engineer should complete the </t>
    </r>
    <r>
      <rPr>
        <i/>
        <sz val="12"/>
        <color theme="1"/>
        <rFont val="Arial"/>
        <family val="2"/>
      </rPr>
      <t>LID CHECKLIST</t>
    </r>
    <r>
      <rPr>
        <sz val="12"/>
        <color theme="1"/>
        <rFont val="Arial"/>
        <family val="2"/>
      </rPr>
      <t xml:space="preserve"> on </t>
    </r>
    <r>
      <rPr>
        <b/>
        <sz val="12"/>
        <color theme="1"/>
        <rFont val="Arial"/>
        <family val="2"/>
      </rPr>
      <t>LID</t>
    </r>
    <r>
      <rPr>
        <sz val="12"/>
        <color theme="1"/>
        <rFont val="Arial"/>
        <family val="2"/>
      </rPr>
      <t xml:space="preserve"> worksheet and provide associated documentation to determine if project meets ALL LID requirements.</t>
    </r>
  </si>
  <si>
    <r>
      <t xml:space="preserve">A DIA shall be performed at the outlet(s) of the site, and downstream at each tributary junction to the point(s) in the conveyance system where the area of the portion of the site draining into the system is less than or equal to 10 percent of the total drainage area above that point.  The outflow hydrograph at these points is to be determined for the pre-development condition.  Then, the outflow hydrograph at each of these points is to be determined for the conditions after the site in question has been developed. </t>
    </r>
    <r>
      <rPr>
        <u/>
        <sz val="12"/>
        <color theme="1"/>
        <rFont val="Arial"/>
        <family val="2"/>
      </rPr>
      <t>All hydrographs and inputs should be provided with plan submittal.</t>
    </r>
  </si>
  <si>
    <t xml:space="preserve">Engineer should input land uses by sub-basin. Off-site drainage to the sub-basin may also be inputted to allow credit for nitrogen removal (if said drainage is routed through the BMP). </t>
  </si>
  <si>
    <t xml:space="preserve">Downstream Impact Analysis
DIA worksheet presents requirements for a downstream impact analysis. Based on engineer inputs, this sheet will report if a DIA is required for the project based on the 10-year storm discharge leaving each discharge point. This stormwater tool does NOT complete the actual downstream impact analyses. </t>
  </si>
  <si>
    <t>SITE DATA</t>
  </si>
  <si>
    <t xml:space="preserve">Complete SITE DATA worksheet. SITE DATA worksheet should be submitted with preliminary plan submittals and modified and submitted for construction plan submittals. </t>
  </si>
  <si>
    <t>Percent Built Upon Area (BUA):</t>
  </si>
  <si>
    <t>Note: Includes offsite drainage</t>
  </si>
  <si>
    <t>Site Land Use (acres):</t>
  </si>
  <si>
    <t>Percent BUA (Includes Existing Lakes/Pond Areas)  =</t>
  </si>
  <si>
    <r>
      <rPr>
        <b/>
        <sz val="12"/>
        <color theme="1"/>
        <rFont val="Arial"/>
        <family val="2"/>
      </rPr>
      <t>LID Narrative</t>
    </r>
    <r>
      <rPr>
        <sz val="12"/>
        <color theme="1"/>
        <rFont val="Arial"/>
        <family val="2"/>
      </rPr>
      <t xml:space="preserve"> (limit to 600 characters - attach additional pages with submittal if necessary):
Describe in detail how the proposed development has utilized "Natural Site Design". Narrative should include the location of site buildings, roads and other land disturbances in the least environmentally-sensitive areas, preservation of steep slopes, and preservation of naturally well draining soils and other hydrologically valuable features. </t>
    </r>
  </si>
  <si>
    <r>
      <t xml:space="preserve">Provided 
Volume that will 
</t>
    </r>
    <r>
      <rPr>
        <u/>
        <sz val="12"/>
        <rFont val="Arial"/>
        <family val="2"/>
      </rPr>
      <t>drawdown 2-5 days</t>
    </r>
    <r>
      <rPr>
        <sz val="12"/>
        <rFont val="Arial"/>
        <family val="2"/>
      </rPr>
      <t xml:space="preserve">
(ft</t>
    </r>
    <r>
      <rPr>
        <vertAlign val="superscript"/>
        <sz val="12"/>
        <rFont val="Arial"/>
        <family val="2"/>
      </rPr>
      <t>3</t>
    </r>
    <r>
      <rPr>
        <sz val="12"/>
        <rFont val="Arial"/>
        <family val="2"/>
      </rPr>
      <t>)</t>
    </r>
  </si>
  <si>
    <t>Sub-DA Nitrogen 
(lbs)</t>
  </si>
  <si>
    <t>Nitrogen Removed
(lbs)</t>
  </si>
  <si>
    <r>
      <t>Total Volume Treated (ft</t>
    </r>
    <r>
      <rPr>
        <vertAlign val="superscript"/>
        <sz val="12"/>
        <color theme="1"/>
        <rFont val="Arial"/>
        <family val="2"/>
      </rPr>
      <t>3</t>
    </r>
    <r>
      <rPr>
        <sz val="12"/>
        <color theme="1"/>
        <rFont val="Arial"/>
        <family val="2"/>
      </rPr>
      <t>)=</t>
    </r>
  </si>
  <si>
    <r>
      <t>Volume of Runoff (ft</t>
    </r>
    <r>
      <rPr>
        <vertAlign val="superscript"/>
        <sz val="12"/>
        <color theme="1"/>
        <rFont val="Arial"/>
        <family val="2"/>
      </rPr>
      <t>3</t>
    </r>
    <r>
      <rPr>
        <sz val="12"/>
        <color theme="1"/>
        <rFont val="Arial"/>
        <family val="2"/>
      </rPr>
      <t>)</t>
    </r>
    <r>
      <rPr>
        <vertAlign val="subscript"/>
        <sz val="12"/>
        <color theme="1"/>
        <rFont val="Arial"/>
        <family val="2"/>
      </rPr>
      <t>(10-year)</t>
    </r>
    <r>
      <rPr>
        <sz val="12"/>
        <color theme="1"/>
        <rFont val="Arial"/>
        <family val="2"/>
      </rPr>
      <t xml:space="preserve"> =</t>
    </r>
  </si>
  <si>
    <t>Towns of Rolesville, Wendell and Zebulon Stormwater Tool Directions</t>
  </si>
  <si>
    <r>
      <t xml:space="preserve">The Wake County Municipal Stormwater Tool is required for all stormwater submittals in Rolesville Wendell, and Zebulon. Engineer will input all data requested that is highlighted in </t>
    </r>
    <r>
      <rPr>
        <b/>
        <sz val="12"/>
        <color theme="3" tint="0.59999389629810485"/>
        <rFont val="Arial"/>
        <family val="2"/>
      </rPr>
      <t>blue</t>
    </r>
    <r>
      <rPr>
        <sz val="12"/>
        <color theme="3" tint="0.59999389629810485"/>
        <rFont val="Arial"/>
        <family val="2"/>
      </rPr>
      <t>.</t>
    </r>
    <r>
      <rPr>
        <sz val="12"/>
        <color theme="1"/>
        <rFont val="Arial"/>
        <family val="2"/>
      </rPr>
      <t xml:space="preserve"> Engineer may follow provided links to view calculations used in this tool. Calculations for peak flow, runoff, time of concentration, etc. are for individual drainage areas. Engineer should complete a worksheet for each drainage area within a project limit.</t>
    </r>
  </si>
  <si>
    <t xml:space="preserve">BMP SUMMARY worksheet summarizes the pre and post BMP runoff, and peak flow per drainage area based on inputs from DA BMP worksheets. </t>
  </si>
  <si>
    <r>
      <t xml:space="preserve">Note: There are no engineer inputs on this sheet and all exeedances from DA BMP worksheets will be flagged in </t>
    </r>
    <r>
      <rPr>
        <b/>
        <sz val="12"/>
        <color theme="5"/>
        <rFont val="Arial"/>
        <family val="2"/>
      </rPr>
      <t>red</t>
    </r>
    <r>
      <rPr>
        <sz val="12"/>
        <rFont val="Arial"/>
        <family val="2"/>
      </rPr>
      <t>.</t>
    </r>
  </si>
  <si>
    <t>If Sub-DA1(d) is connected to upstream subbasin(s), enter the nitrogen leaving the most upstream subbasin(lbs):</t>
  </si>
  <si>
    <r>
      <t>If Sub-DA1(d) is connected to upstream subbasin(s), enter the volume leaving the upstream subbasin not previously treated (ft</t>
    </r>
    <r>
      <rPr>
        <vertAlign val="superscript"/>
        <sz val="12"/>
        <color theme="1"/>
        <rFont val="Arial"/>
        <family val="2"/>
      </rPr>
      <t>3</t>
    </r>
    <r>
      <rPr>
        <sz val="12"/>
        <color theme="1"/>
        <rFont val="Arial"/>
        <family val="2"/>
      </rPr>
      <t>):</t>
    </r>
  </si>
  <si>
    <t>If Sub-DA1(e) is connected to upstream subbasin(s), enter the volume leaving the upstream subbasin(lbs):</t>
  </si>
  <si>
    <t>Target CN =</t>
  </si>
  <si>
    <r>
      <t>Peak Discharge (cfs)=Q</t>
    </r>
    <r>
      <rPr>
        <vertAlign val="subscript"/>
        <sz val="12"/>
        <color theme="1"/>
        <rFont val="Arial"/>
        <family val="2"/>
      </rPr>
      <t xml:space="preserve">10-year </t>
    </r>
    <r>
      <rPr>
        <sz val="12"/>
        <color theme="1"/>
        <rFont val="Arial"/>
        <family val="2"/>
      </rPr>
      <t>=</t>
    </r>
  </si>
  <si>
    <t>Post-BMP Nitrogen Loading</t>
  </si>
  <si>
    <t>Site Nitrogen Loading Data For Expansions Only</t>
  </si>
  <si>
    <t>Total Impervious (acres)=</t>
  </si>
  <si>
    <t>Existing</t>
  </si>
  <si>
    <t>Impervious(acres)=</t>
  </si>
  <si>
    <t>New</t>
  </si>
  <si>
    <t>Total pervious area (acres)=</t>
  </si>
  <si>
    <t>Percent of total Impervious=</t>
  </si>
  <si>
    <t>Nitrogen Load (lbs/yr)=</t>
  </si>
  <si>
    <t>Is the proposed project a site expansion?</t>
  </si>
  <si>
    <t>y/n</t>
  </si>
  <si>
    <t>Yes</t>
  </si>
  <si>
    <t>No</t>
  </si>
  <si>
    <t>Existing Site Nitrogen Loading Data</t>
  </si>
  <si>
    <t>loading rate</t>
  </si>
  <si>
    <t>total</t>
  </si>
  <si>
    <t>Bioretention with IWS</t>
  </si>
  <si>
    <t>Bioretention without IWS</t>
  </si>
  <si>
    <r>
      <t xml:space="preserve">BMPs are required in each DA where post-development peak flow is higher than pre-development peak flow. Only under special circumstances will a BMP not be required. In these cases, the engineer must show the following:
1. Total runoff volume for the DA must be less than 10% of the entire site runoff for the 10-yr, 24-hr storm event. 
2. TN must be handled for the site elsewhere.
3. Runoff must not leave the DA at an erosive velocity.
</t>
    </r>
    <r>
      <rPr>
        <u/>
        <sz val="12"/>
        <color theme="1"/>
        <rFont val="Arial"/>
        <family val="2"/>
      </rPr>
      <t>Otherwise, BMPs must be utilized to mimic pre-development peak flow in each drainage area.</t>
    </r>
    <r>
      <rPr>
        <sz val="12"/>
        <color theme="1"/>
        <rFont val="Arial"/>
        <family val="2"/>
      </rPr>
      <t xml:space="preserve">
</t>
    </r>
  </si>
  <si>
    <t>Total Site loading rate (lbs/ac/yr)</t>
  </si>
  <si>
    <t>"Expansion Area" (acres=)</t>
  </si>
  <si>
    <t>C2</t>
  </si>
  <si>
    <r>
      <t>F</t>
    </r>
    <r>
      <rPr>
        <b/>
        <vertAlign val="subscript"/>
        <sz val="12"/>
        <color theme="1"/>
        <rFont val="Arial"/>
        <family val="2"/>
      </rPr>
      <t>p</t>
    </r>
  </si>
  <si>
    <r>
      <t>Q*</t>
    </r>
    <r>
      <rPr>
        <vertAlign val="subscript"/>
        <sz val="12"/>
        <color theme="1"/>
        <rFont val="Arial"/>
        <family val="2"/>
      </rPr>
      <t>High</t>
    </r>
    <r>
      <rPr>
        <sz val="12"/>
        <color theme="1"/>
        <rFont val="Arial"/>
        <family val="2"/>
      </rPr>
      <t>=Q*</t>
    </r>
    <r>
      <rPr>
        <vertAlign val="subscript"/>
        <sz val="12"/>
        <color theme="1"/>
        <rFont val="Arial"/>
        <family val="2"/>
      </rPr>
      <t xml:space="preserve">(imp) X </t>
    </r>
    <r>
      <rPr>
        <sz val="12"/>
        <color theme="1"/>
        <rFont val="Arial"/>
        <family val="2"/>
      </rPr>
      <t>DA</t>
    </r>
    <r>
      <rPr>
        <vertAlign val="subscript"/>
        <sz val="12"/>
        <color theme="1"/>
        <rFont val="Arial"/>
        <family val="2"/>
      </rPr>
      <t>(imp)</t>
    </r>
    <r>
      <rPr>
        <sz val="12"/>
        <color theme="1"/>
        <rFont val="Arial"/>
        <family val="2"/>
      </rPr>
      <t xml:space="preserve"> + Q*</t>
    </r>
    <r>
      <rPr>
        <vertAlign val="subscript"/>
        <sz val="12"/>
        <color theme="1"/>
        <rFont val="Arial"/>
        <family val="2"/>
      </rPr>
      <t>(pervious)</t>
    </r>
    <r>
      <rPr>
        <sz val="12"/>
        <color theme="1"/>
        <rFont val="Arial"/>
        <family val="2"/>
      </rPr>
      <t xml:space="preserve"> X DA</t>
    </r>
    <r>
      <rPr>
        <vertAlign val="subscript"/>
        <sz val="12"/>
        <color theme="1"/>
        <rFont val="Arial"/>
        <family val="2"/>
      </rPr>
      <t>(pervious)</t>
    </r>
  </si>
  <si>
    <r>
      <t>Q*</t>
    </r>
    <r>
      <rPr>
        <vertAlign val="subscript"/>
        <sz val="12"/>
        <color theme="1"/>
        <rFont val="Arial"/>
        <family val="2"/>
      </rPr>
      <t xml:space="preserve">(imp) </t>
    </r>
    <r>
      <rPr>
        <sz val="12"/>
        <color theme="1"/>
        <rFont val="Arial"/>
        <family val="2"/>
      </rPr>
      <t>= Runoff from Impervious Area (in)</t>
    </r>
  </si>
  <si>
    <r>
      <t>DA</t>
    </r>
    <r>
      <rPr>
        <vertAlign val="subscript"/>
        <sz val="12"/>
        <color theme="1"/>
        <rFont val="Arial"/>
        <family val="2"/>
      </rPr>
      <t xml:space="preserve">(imp) </t>
    </r>
    <r>
      <rPr>
        <sz val="12"/>
        <color theme="1"/>
        <rFont val="Arial"/>
        <family val="2"/>
      </rPr>
      <t>= Drainage from impervious area (acre)</t>
    </r>
  </si>
  <si>
    <r>
      <t>Q*</t>
    </r>
    <r>
      <rPr>
        <vertAlign val="subscript"/>
        <sz val="12"/>
        <color theme="1"/>
        <rFont val="Arial"/>
        <family val="2"/>
      </rPr>
      <t xml:space="preserve">(pervious) </t>
    </r>
    <r>
      <rPr>
        <sz val="12"/>
        <color theme="1"/>
        <rFont val="Arial"/>
        <family val="2"/>
      </rPr>
      <t>= Runoff from pervious area (in)</t>
    </r>
  </si>
  <si>
    <r>
      <t>DA</t>
    </r>
    <r>
      <rPr>
        <vertAlign val="subscript"/>
        <sz val="12"/>
        <color theme="1"/>
        <rFont val="Arial"/>
        <family val="2"/>
      </rPr>
      <t xml:space="preserve">(pervious) </t>
    </r>
    <r>
      <rPr>
        <sz val="12"/>
        <color theme="1"/>
        <rFont val="Arial"/>
        <family val="2"/>
      </rPr>
      <t>= Drainage from pervious area (acre)</t>
    </r>
  </si>
  <si>
    <t>SIMPLE METHOD APPROACH</t>
  </si>
  <si>
    <r>
      <t>Q</t>
    </r>
    <r>
      <rPr>
        <vertAlign val="subscript"/>
        <sz val="12"/>
        <color theme="1"/>
        <rFont val="Arial"/>
        <family val="2"/>
      </rPr>
      <t>(High)</t>
    </r>
    <r>
      <rPr>
        <sz val="12"/>
        <color theme="1"/>
        <rFont val="Arial"/>
        <family val="2"/>
      </rPr>
      <t>*=Q*</t>
    </r>
    <r>
      <rPr>
        <vertAlign val="subscript"/>
        <sz val="12"/>
        <color theme="1"/>
        <rFont val="Arial"/>
        <family val="2"/>
      </rPr>
      <t xml:space="preserve">(imp) X </t>
    </r>
    <r>
      <rPr>
        <sz val="12"/>
        <color theme="1"/>
        <rFont val="Arial"/>
        <family val="2"/>
      </rPr>
      <t>DA</t>
    </r>
    <r>
      <rPr>
        <vertAlign val="subscript"/>
        <sz val="12"/>
        <color theme="1"/>
        <rFont val="Arial"/>
        <family val="2"/>
      </rPr>
      <t>(imp)</t>
    </r>
    <r>
      <rPr>
        <sz val="12"/>
        <color theme="1"/>
        <rFont val="Arial"/>
        <family val="2"/>
      </rPr>
      <t xml:space="preserve"> + Q*</t>
    </r>
    <r>
      <rPr>
        <vertAlign val="subscript"/>
        <sz val="12"/>
        <color theme="1"/>
        <rFont val="Arial"/>
        <family val="2"/>
      </rPr>
      <t>(pervious)</t>
    </r>
    <r>
      <rPr>
        <sz val="12"/>
        <color theme="1"/>
        <rFont val="Arial"/>
        <family val="2"/>
      </rPr>
      <t xml:space="preserve"> X DA</t>
    </r>
    <r>
      <rPr>
        <vertAlign val="subscript"/>
        <sz val="12"/>
        <color theme="1"/>
        <rFont val="Arial"/>
        <family val="2"/>
      </rPr>
      <t>(pervious)</t>
    </r>
  </si>
  <si>
    <r>
      <t>Rv =.05</t>
    </r>
    <r>
      <rPr>
        <vertAlign val="subscript"/>
        <sz val="12"/>
        <color theme="1"/>
        <rFont val="Arial"/>
        <family val="2"/>
      </rPr>
      <t xml:space="preserve">  </t>
    </r>
    <r>
      <rPr>
        <sz val="12"/>
        <color theme="1"/>
        <rFont val="Arial"/>
        <family val="2"/>
      </rPr>
      <t>+ 0.9 X (I); V = 3630 X RD X RV X DA)</t>
    </r>
  </si>
  <si>
    <t>Rv = runoff coefficient = storm runoff (in)/ storm rainfall (in)</t>
  </si>
  <si>
    <t>DA(imp)=</t>
  </si>
  <si>
    <t>DA(pervious)=</t>
  </si>
  <si>
    <t>If CN&gt;64, compute Q</t>
  </si>
  <si>
    <t>I = % impervious (Impervious area of DA/DA)</t>
  </si>
  <si>
    <r>
      <t>S</t>
    </r>
    <r>
      <rPr>
        <vertAlign val="subscript"/>
        <sz val="12"/>
        <color theme="1"/>
        <rFont val="Arial"/>
        <family val="2"/>
      </rPr>
      <t>(imp)</t>
    </r>
    <r>
      <rPr>
        <sz val="12"/>
        <color theme="1"/>
        <rFont val="Arial"/>
        <family val="2"/>
      </rPr>
      <t>=</t>
    </r>
  </si>
  <si>
    <r>
      <t>V =3630 X R</t>
    </r>
    <r>
      <rPr>
        <vertAlign val="subscript"/>
        <sz val="12"/>
        <color theme="1"/>
        <rFont val="Arial"/>
        <family val="2"/>
      </rPr>
      <t>D</t>
    </r>
    <r>
      <rPr>
        <sz val="12"/>
        <color theme="1"/>
        <rFont val="Arial"/>
        <family val="2"/>
      </rPr>
      <t xml:space="preserve"> X R</t>
    </r>
    <r>
      <rPr>
        <vertAlign val="subscript"/>
        <sz val="12"/>
        <color theme="1"/>
        <rFont val="Arial"/>
        <family val="2"/>
      </rPr>
      <t>V</t>
    </r>
    <r>
      <rPr>
        <sz val="12"/>
        <color theme="1"/>
        <rFont val="Arial"/>
        <family val="2"/>
      </rPr>
      <t xml:space="preserve"> X DA</t>
    </r>
  </si>
  <si>
    <r>
      <t>Q*</t>
    </r>
    <r>
      <rPr>
        <vertAlign val="subscript"/>
        <sz val="12"/>
        <rFont val="Arial"/>
        <family val="2"/>
      </rPr>
      <t>(imp)</t>
    </r>
    <r>
      <rPr>
        <sz val="12"/>
        <rFont val="Arial"/>
        <family val="2"/>
      </rPr>
      <t>=</t>
    </r>
  </si>
  <si>
    <t xml:space="preserve">I = </t>
  </si>
  <si>
    <t>this is only the site DA, need more inputs for offsite DAs</t>
  </si>
  <si>
    <t>Volume=</t>
  </si>
  <si>
    <t>Volume for treatment=</t>
  </si>
  <si>
    <t>Rv =</t>
  </si>
  <si>
    <t>cf</t>
  </si>
  <si>
    <t>V  (cf)=</t>
  </si>
  <si>
    <t>Simple VS Discrete</t>
  </si>
  <si>
    <t>cf of treatment volume required</t>
  </si>
  <si>
    <r>
      <t>Runoff (inches) = Q*</t>
    </r>
    <r>
      <rPr>
        <strike/>
        <vertAlign val="subscript"/>
        <sz val="12"/>
        <color rgb="FFFF0000"/>
        <rFont val="Arial"/>
        <family val="2"/>
      </rPr>
      <t>High</t>
    </r>
    <r>
      <rPr>
        <strike/>
        <sz val="12"/>
        <color rgb="FFFF0000"/>
        <rFont val="Arial"/>
        <family val="2"/>
      </rPr>
      <t>=</t>
    </r>
  </si>
  <si>
    <t>TN Coeff.
(lbs/ac/yr</t>
  </si>
  <si>
    <t>Sub-DA1(a) 
(lbs/yr)</t>
  </si>
  <si>
    <t>Sub-DA1(b) 
(lbs/yr)</t>
  </si>
  <si>
    <t>Sub-DA1(c) 
(lbs/yr)</t>
  </si>
  <si>
    <t>Sub-DA1(d) 
(lbs/yr)</t>
  </si>
  <si>
    <t>Sub-DA1(e) 
(lbs/yr)</t>
  </si>
  <si>
    <r>
      <t>Volume change (ft</t>
    </r>
    <r>
      <rPr>
        <vertAlign val="superscript"/>
        <sz val="12"/>
        <color theme="1"/>
        <rFont val="Arial"/>
        <family val="2"/>
      </rPr>
      <t>3</t>
    </r>
    <r>
      <rPr>
        <sz val="12"/>
        <color theme="1"/>
        <rFont val="Arial"/>
        <family val="2"/>
      </rPr>
      <t>) =</t>
    </r>
  </si>
  <si>
    <t>High Density volume to be the greater of the Simple Method and Discrete Method</t>
  </si>
  <si>
    <t>Nitrogen volume error removed</t>
  </si>
  <si>
    <t>Nitrogen loading error corrected in hidden cells</t>
  </si>
  <si>
    <t>-</t>
  </si>
  <si>
    <t>Cistern/Underground Detention</t>
  </si>
  <si>
    <t>Enter % of the year water will be reused=</t>
  </si>
  <si>
    <r>
      <rPr>
        <vertAlign val="superscript"/>
        <sz val="11"/>
        <color theme="1"/>
        <rFont val="Arial"/>
        <family val="2"/>
      </rPr>
      <t>1</t>
    </r>
    <r>
      <rPr>
        <sz val="11"/>
        <color theme="1"/>
        <rFont val="Arial"/>
        <family val="2"/>
      </rPr>
      <t xml:space="preserve"> Use of underground detention reduces total volume required for storage as well total nitrogen load. To receive total reduction, engineer must show year-round use of reclaimed water. If water is not reused year-round, a percent of the total reduction may be given (See DA BMP sheets).</t>
    </r>
  </si>
  <si>
    <r>
      <t xml:space="preserve">Provided 
Volume that will 
</t>
    </r>
    <r>
      <rPr>
        <u/>
        <sz val="12"/>
        <rFont val="Arial"/>
        <family val="2"/>
      </rPr>
      <t xml:space="preserve">drawdown 2-5 days </t>
    </r>
    <r>
      <rPr>
        <sz val="12"/>
        <rFont val="Arial"/>
        <family val="2"/>
      </rPr>
      <t xml:space="preserve">
(ft</t>
    </r>
    <r>
      <rPr>
        <vertAlign val="superscript"/>
        <sz val="12"/>
        <rFont val="Arial"/>
        <family val="2"/>
      </rPr>
      <t>3</t>
    </r>
    <r>
      <rPr>
        <sz val="12"/>
        <rFont val="Arial"/>
        <family val="2"/>
      </rPr>
      <t>)</t>
    </r>
  </si>
  <si>
    <r>
      <t>Water Quality Volume
for Sub-DA (ft</t>
    </r>
    <r>
      <rPr>
        <vertAlign val="superscript"/>
        <sz val="12"/>
        <rFont val="Arial"/>
        <family val="2"/>
      </rPr>
      <t>3</t>
    </r>
    <r>
      <rPr>
        <sz val="12"/>
        <rFont val="Arial"/>
        <family val="2"/>
      </rPr>
      <t>)</t>
    </r>
  </si>
  <si>
    <t>Sub DA(a)</t>
  </si>
  <si>
    <t>Sub DA(b)</t>
  </si>
  <si>
    <t>Sub DA(c)</t>
  </si>
  <si>
    <t>Sub DA(d)</t>
  </si>
  <si>
    <t>Sub DA(e)</t>
  </si>
  <si>
    <t>Note: Supporting information/details should be submitted to demonstrate water usage.</t>
  </si>
  <si>
    <r>
      <t>Total Required Storage Volume for DA1 
1" Rainfall for High Density (ft</t>
    </r>
    <r>
      <rPr>
        <vertAlign val="superscript"/>
        <sz val="12"/>
        <rFont val="Arial"/>
        <family val="2"/>
      </rPr>
      <t>3</t>
    </r>
    <r>
      <rPr>
        <sz val="12"/>
        <rFont val="Arial"/>
        <family val="2"/>
      </rPr>
      <t>)=</t>
    </r>
  </si>
  <si>
    <r>
      <t>Total Required Storage Volume
TCN Requirement (ft</t>
    </r>
    <r>
      <rPr>
        <vertAlign val="superscript"/>
        <sz val="12"/>
        <rFont val="Arial"/>
        <family val="2"/>
      </rPr>
      <t>3</t>
    </r>
    <r>
      <rPr>
        <sz val="12"/>
        <rFont val="Arial"/>
        <family val="2"/>
      </rPr>
      <t>)=</t>
    </r>
  </si>
  <si>
    <r>
      <t xml:space="preserve"> Increase in volume per DA (ft</t>
    </r>
    <r>
      <rPr>
        <vertAlign val="superscript"/>
        <sz val="12"/>
        <color theme="1"/>
        <rFont val="Arial"/>
        <family val="2"/>
      </rPr>
      <t>3</t>
    </r>
    <r>
      <rPr>
        <sz val="12"/>
        <color theme="1"/>
        <rFont val="Arial"/>
        <family val="2"/>
      </rPr>
      <t>)_1-yr storm=</t>
    </r>
  </si>
  <si>
    <t xml:space="preserve">Storage Volume required based on project density classification. </t>
  </si>
  <si>
    <t>Rooftop Runoff Management (Excluding Cisterns)</t>
  </si>
  <si>
    <t>Rooftop Runoff Management 
(Excluding Cisterns)</t>
  </si>
  <si>
    <t>See Note</t>
  </si>
  <si>
    <t>For cisterns, engineer shall input drainage area used for reuse in Sub-DA1(a) prior to entering further BMPs. Use of a cistern reduces total volume required for storage as well total nitrogen load. To receive total reduction, engineer must show year-round use of reclaimed water. Volume not reused may be treated by downstream BMP in another sub-DA.</t>
  </si>
  <si>
    <t>Will site use underground detention/cistern?</t>
  </si>
  <si>
    <t>If Sub-DA1(b) is connected to upstream subbasin(s), 
enter the nitrogen leaving the most upstream subbasin(lbs):</t>
  </si>
  <si>
    <r>
      <t>If Sub-DA1(b) is connected to upstream subbasin(s), 
enter the volume leaving the upstream subbasin not previously treated (ft</t>
    </r>
    <r>
      <rPr>
        <vertAlign val="superscript"/>
        <sz val="12"/>
        <color theme="1"/>
        <rFont val="Arial"/>
        <family val="2"/>
      </rPr>
      <t>3</t>
    </r>
    <r>
      <rPr>
        <sz val="12"/>
        <color theme="1"/>
        <rFont val="Arial"/>
        <family val="2"/>
      </rPr>
      <t>):</t>
    </r>
  </si>
  <si>
    <t>If Sub-DA1(c) is connected to upstream subbasin(s), 
enter the nitrogen leaving the most upstream subbasin(lbs):</t>
  </si>
  <si>
    <t>If Sub-DA1(c) is connected to upstream subbasin(s), 
enter the volume leaving the upstream subbasin(lbs):</t>
  </si>
  <si>
    <t>Various changes to notes and cell titles for clarification</t>
  </si>
  <si>
    <t>Added Cistern to BMPs with N and volume reduction</t>
  </si>
  <si>
    <r>
      <t>Volume of runoff from 1" rainfall for DA
HIGH DENSITY REQUIREMENT = (ft</t>
    </r>
    <r>
      <rPr>
        <vertAlign val="superscript"/>
        <sz val="12"/>
        <color theme="1"/>
        <rFont val="Arial"/>
        <family val="2"/>
      </rPr>
      <t>3</t>
    </r>
    <r>
      <rPr>
        <sz val="12"/>
        <color theme="1"/>
        <rFont val="Arial"/>
        <family val="2"/>
      </rPr>
      <t>) =</t>
    </r>
  </si>
  <si>
    <t>DA2 Site Acreage=</t>
  </si>
  <si>
    <t>DA2 Off-Site Acreage=</t>
  </si>
  <si>
    <t>Total Required Storage Volume for DA2 
1" Rainfall for High Density (ft3)=</t>
  </si>
  <si>
    <t>For cisterns, engineer shall input drainage area used for reuse in Sub-DA2(a) prior to entering further BMPs. Use of a cistern reduces total volume required for storage as well total nitrogen load. To receive total reduction, engineer must show year-round use of reclaimed water. Volume not reused may be treated by downstream BMP in another sub-DA.</t>
  </si>
  <si>
    <t>Sub-DA2(a) 
(Ac)</t>
  </si>
  <si>
    <t>Sub-DA2(b) 
(Ac)</t>
  </si>
  <si>
    <t>Sub-DA2(c) 
(Ac)</t>
  </si>
  <si>
    <t>Sub-DA2(d) 
(Ac)</t>
  </si>
  <si>
    <t>Sub-DA2(e) 
(Ac)</t>
  </si>
  <si>
    <t>DA2 BMP SUMMARY</t>
  </si>
  <si>
    <t>Sub-DA2(a) 
(lbs/yr)</t>
  </si>
  <si>
    <t>Sub-DA2(b) 
(lbs/yr)</t>
  </si>
  <si>
    <t>Sub-DA2(c) 
(lbs/yr)</t>
  </si>
  <si>
    <t>Sub-DA2(d) 
(lbs/yr)</t>
  </si>
  <si>
    <t>Sub-DA2(e) 
(lbs/yr)</t>
  </si>
  <si>
    <t>DA3 Site Acreage=</t>
  </si>
  <si>
    <t>DA3 Off-Site Acreage=</t>
  </si>
  <si>
    <t>Total Required Storage Volume for DA3 
1" Rainfall for High Density (ft3)=</t>
  </si>
  <si>
    <t>For cisterns, engineer shall input drainage area used for reuse in Sub-DA3(a) prior to entering further BMPs. Use of a cistern reduces total volume required for storage as well total nitrogen load. To receive total reduction, engineer must show year-round use of reclaimed water. Volume not reused may be treated by downstream BMP in another sub-DA.</t>
  </si>
  <si>
    <t>Sub-DA3(a) 
(Ac)</t>
  </si>
  <si>
    <t>Sub-DA3(b) 
(Ac)</t>
  </si>
  <si>
    <t>Sub-DA3(c) 
(Ac)</t>
  </si>
  <si>
    <t>Sub-DA3(d) 
(Ac)</t>
  </si>
  <si>
    <t>Sub-DA3(e) 
(Ac)</t>
  </si>
  <si>
    <t>DA3 BMP SUMMARY</t>
  </si>
  <si>
    <t>Sub-DA3(a) 
(lbs/yr)</t>
  </si>
  <si>
    <t>Sub-DA3(b) 
(lbs/yr)</t>
  </si>
  <si>
    <t>Sub-DA3(c) 
(lbs/yr)</t>
  </si>
  <si>
    <t>Sub-DA3(d) 
(lbs/yr)</t>
  </si>
  <si>
    <t>Sub-DA3(e) 
(lbs/yr)</t>
  </si>
  <si>
    <t>DA4 Site Acreage=</t>
  </si>
  <si>
    <t>DA4 Off-Site Acreage=</t>
  </si>
  <si>
    <t>Total Required Storage Volume for DA4 
1" Rainfall for High Density (ft3)=</t>
  </si>
  <si>
    <t>For cisterns, engineer shall input drainage area used for reuse in Sub-DA4(a) prior to entering further BMPs. Use of a cistern reduces total volume required for storage as well total nitrogen load. To receive total reduction, engineer must show year-round use of reclaimed water. Volume not reused may be treated by downstream BMP in another sub-DA.</t>
  </si>
  <si>
    <t>Sub-DA4(a) 
(Ac)</t>
  </si>
  <si>
    <t>Sub-DA4(b) 
(Ac)</t>
  </si>
  <si>
    <t>Sub-DA4(c) 
(Ac)</t>
  </si>
  <si>
    <t>Sub-DA4(d) 
(Ac)</t>
  </si>
  <si>
    <t>Sub-DA4(e) 
(Ac)</t>
  </si>
  <si>
    <t>DA4 BMP SUMMARY</t>
  </si>
  <si>
    <t>Sub-DA4(a) 
(lbs/yr)</t>
  </si>
  <si>
    <t>Sub-DA4(b) 
(lbs/yr)</t>
  </si>
  <si>
    <t>Sub-DA4(c) 
(lbs/yr)</t>
  </si>
  <si>
    <t>Sub-DA4(d) 
(lbs/yr)</t>
  </si>
  <si>
    <t>Sub-DA4(e) 
(lbs/yr)</t>
  </si>
  <si>
    <t>DA5 Site Acreage=</t>
  </si>
  <si>
    <t>DA5 Off-Site Acreage=</t>
  </si>
  <si>
    <t>Total Required Storage Volume for DA5 
1" Rainfall for High Density (ft3)=</t>
  </si>
  <si>
    <t>For cisterns, engineer shall input drainage area used for reuse in Sub-DA5(a) prior to entering further BMPs. Use of a cistern reduces total volume required for storage as well total nitrogen load. To receive total reduction, engineer must show year-round use of reclaimed water. Volume not reused may be treated by downstream BMP in another sub-DA.</t>
  </si>
  <si>
    <t>Sub-DA5(a) 
(Ac)</t>
  </si>
  <si>
    <t>Sub-DA5(b) 
(Ac)</t>
  </si>
  <si>
    <t>Sub-DA5(c) 
(Ac)</t>
  </si>
  <si>
    <t>Sub-DA5(d) 
(Ac)</t>
  </si>
  <si>
    <t>Sub-DA5(e) 
(Ac)</t>
  </si>
  <si>
    <t>DA5 BMP SUMMARY</t>
  </si>
  <si>
    <t>Sub-DA5(a) 
(lbs/yr)</t>
  </si>
  <si>
    <t>Sub-DA5(b) 
(lbs/yr)</t>
  </si>
  <si>
    <t>Sub-DA5(c) 
(lbs/yr)</t>
  </si>
  <si>
    <t>Sub-DA5(d) 
(lbs/yr)</t>
  </si>
  <si>
    <t>Sub-DA5(e) 
(lbs/yr)</t>
  </si>
  <si>
    <t>DA6 Site Acreage=</t>
  </si>
  <si>
    <t>DA6 Off-Site Acreage=</t>
  </si>
  <si>
    <t>Total Required Storage Volume for DA6 
1" Rainfall for High Density (ft3)=</t>
  </si>
  <si>
    <t>For cisterns, engineer shall input drainage area used for reuse in Sub-DA6(a) prior to entering further BMPs. Use of a cistern reduces total volume required for storage as well total nitrogen load. To receive total reduction, engineer must show year-round use of reclaimed water. Volume not reused may be treated by downstream BMP in another sub-DA.</t>
  </si>
  <si>
    <t>Sub-DA6(a) 
(Ac)</t>
  </si>
  <si>
    <t>Sub-DA6(b) 
(Ac)</t>
  </si>
  <si>
    <t>Sub-DA6(c) 
(Ac)</t>
  </si>
  <si>
    <t>Sub-DA6(d) 
(Ac)</t>
  </si>
  <si>
    <t>Sub-DA6(e) 
(Ac)</t>
  </si>
  <si>
    <t>DA6 BMP SUMMARY</t>
  </si>
  <si>
    <t>Sub-DA6(a) 
(lbs/yr)</t>
  </si>
  <si>
    <t>Sub-DA6(b) 
(lbs/yr)</t>
  </si>
  <si>
    <t>Sub-DA6(c) 
(lbs/yr)</t>
  </si>
  <si>
    <t>Sub-DA6(d) 
(lbs/yr)</t>
  </si>
  <si>
    <t>Sub-DA6(e) 
(lbs/yr)</t>
  </si>
  <si>
    <t>DA7 Site Acreage=</t>
  </si>
  <si>
    <t>DA7 Off-Site Acreage=</t>
  </si>
  <si>
    <t>Total Required Storage Volume for DA7 
1" Rainfall for High Density (ft3)=</t>
  </si>
  <si>
    <t>For cisterns, engineer shall input drainage area used for reuse in Sub-DA7(a) prior to entering further BMPs. Use of a cistern reduces total volume required for storage as well total nitrogen load. To receive total reduction, engineer must show year-round use of reclaimed water. Volume not reused may be treated by downstream BMP in another sub-DA.</t>
  </si>
  <si>
    <t>Sub-DA7(a) 
(Ac)</t>
  </si>
  <si>
    <t>Sub-DA7(b) 
(Ac)</t>
  </si>
  <si>
    <t>Sub-DA7(c) 
(Ac)</t>
  </si>
  <si>
    <t>Sub-DA7(d) 
(Ac)</t>
  </si>
  <si>
    <t>Sub-DA7(e) 
(Ac)</t>
  </si>
  <si>
    <t>DA7 BMP SUMMARY</t>
  </si>
  <si>
    <t>Sub-DA7(a) 
(lbs/yr)</t>
  </si>
  <si>
    <t>Sub-DA7(b) 
(lbs/yr)</t>
  </si>
  <si>
    <t>Sub-DA7(c) 
(lbs/yr)</t>
  </si>
  <si>
    <t>Sub-DA7(d) 
(lbs/yr)</t>
  </si>
  <si>
    <t>Sub-DA7(e) 
(lbs/yr)</t>
  </si>
  <si>
    <t>DA8 Site Acreage=</t>
  </si>
  <si>
    <t>DA8 Off-Site Acreage=</t>
  </si>
  <si>
    <t>Total Required Storage Volume for DA8 
1" Rainfall for High Density (ft3)=</t>
  </si>
  <si>
    <t>For cisterns, engineer shall input drainage area used for reuse in Sub-DA8(a) prior to entering further BMPs. Use of a cistern reduces total volume required for storage as well total nitrogen load. To receive total reduction, engineer must show year-round use of reclaimed water. Volume not reused may be treated by downstream BMP in another sub-DA.</t>
  </si>
  <si>
    <t>Sub-DA8(a) 
(Ac)</t>
  </si>
  <si>
    <t>Sub-DA8(b) 
(Ac)</t>
  </si>
  <si>
    <t>Sub-DA8(c) 
(Ac)</t>
  </si>
  <si>
    <t>Sub-DA8(d) 
(Ac)</t>
  </si>
  <si>
    <t>Sub-DA8(e) 
(Ac)</t>
  </si>
  <si>
    <t>DA8 BMP SUMMARY</t>
  </si>
  <si>
    <t>Sub-DA8(a) 
(lbs/yr)</t>
  </si>
  <si>
    <t>Sub-DA8(b) 
(lbs/yr)</t>
  </si>
  <si>
    <t>Sub-DA8(c) 
(lbs/yr)</t>
  </si>
  <si>
    <t>Sub-DA8(d) 
(lbs/yr)</t>
  </si>
  <si>
    <t>Sub-DA8(e) 
(lbs/yr)</t>
  </si>
  <si>
    <t>DA9 Site Acreage=</t>
  </si>
  <si>
    <t>DA9 Off-Site Acreage=</t>
  </si>
  <si>
    <t>Total Required Storage Volume for DA9 
1" Rainfall for High Density (ft3)=</t>
  </si>
  <si>
    <t>For cisterns, engineer shall input drainage area used for reuse in Sub-DA9(a) prior to entering further BMPs. Use of a cistern reduces total volume required for storage as well total nitrogen load. To receive total reduction, engineer must show year-round use of reclaimed water. Volume not reused may be treated by downstream BMP in another sub-DA.</t>
  </si>
  <si>
    <t>Sub-DA9(a) 
(Ac)</t>
  </si>
  <si>
    <t>Sub-DA9(b) 
(Ac)</t>
  </si>
  <si>
    <t>Sub-DA9(c) 
(Ac)</t>
  </si>
  <si>
    <t>Sub-DA9(d) 
(Ac)</t>
  </si>
  <si>
    <t>Sub-DA9(e) 
(Ac)</t>
  </si>
  <si>
    <t>DA9 BMP SUMMARY</t>
  </si>
  <si>
    <t>Sub-DA9(a) 
(lbs/yr)</t>
  </si>
  <si>
    <t>Sub-DA9(b) 
(lbs/yr)</t>
  </si>
  <si>
    <t>Sub-DA9(c) 
(lbs/yr)</t>
  </si>
  <si>
    <t>Sub-DA9(d) 
(lbs/yr)</t>
  </si>
  <si>
    <t>Sub-DA9(e) 
(lbs/yr)</t>
  </si>
  <si>
    <t>DA10 Site Acreage=</t>
  </si>
  <si>
    <t>DA10 Off-Site Acreage=</t>
  </si>
  <si>
    <t>Total Required Storage Volume for DA10 
1" Rainfall for High Density (ft3)=</t>
  </si>
  <si>
    <t>For cisterns, engineer shall input drainage area used for reuse in Sub-DA10(a) prior to entering further BMPs. Use of a cistern reduces total volume required for storage as well total nitrogen load. To receive total reduction, engineer must show year-round use of reclaimed water. Volume not reused may be treated by downstream BMP in another sub-DA.</t>
  </si>
  <si>
    <t>Sub-DA10(a) 
(Ac)</t>
  </si>
  <si>
    <t>Sub-DA10(b) 
(Ac)</t>
  </si>
  <si>
    <t>Sub-DA10(c) 
(Ac)</t>
  </si>
  <si>
    <t>Sub-DA10(d) 
(Ac)</t>
  </si>
  <si>
    <t>Sub-DA10(e) 
(Ac)</t>
  </si>
  <si>
    <t>DA10 BMP SUMMARY</t>
  </si>
  <si>
    <t>Sub-DA10(a) 
(lbs/yr)</t>
  </si>
  <si>
    <t>Sub-DA10(b) 
(lbs/yr)</t>
  </si>
  <si>
    <t>Sub-DA10(c) 
(lbs/yr)</t>
  </si>
  <si>
    <t>Sub-DA10(d) 
(lbs/yr)</t>
  </si>
  <si>
    <t>Sub-DA10(e) 
(lbs/yr)</t>
  </si>
  <si>
    <t>Runoff 1"</t>
  </si>
  <si>
    <t>Modified Water Quality volume on BMP sheets to be the runoff from the 1" of rain -confirmed with Bradley Bennett (6.21.11) that runoff, not 1" of runoff to be used</t>
  </si>
  <si>
    <t>Based on Bradley Bennett conversation, simple or discrete should be used unless project is LID (low and ultra still use SCS, will run scenarios to see if still comparable)</t>
  </si>
  <si>
    <t>Various formatting of cells, hid some cells with unused information to simplify (Ex: Qtarget)</t>
  </si>
  <si>
    <t>Stormwater Narrative should describe the site conditions in pre- and post-development conditions including a description of site improvements and proposed stormwater BMPs.</t>
  </si>
  <si>
    <t xml:space="preserve">SITE SUMMARY worksheet summarizes the pre and post runoff, Tc, and peak flow per drainage area based on inputs from DA worksheets. This worksheet denotes the volume required for management per drainage area based on high density requirements. </t>
  </si>
  <si>
    <t>DA BMP worksheets will ensure that proposed BMPs meet requirements for peak flow, TCN, and for Nitrogen. Engineer must input post-BMP discharge.</t>
  </si>
  <si>
    <r>
      <t>Total Required Storage Volume for Site
TCN Requirement (ft</t>
    </r>
    <r>
      <rPr>
        <vertAlign val="superscript"/>
        <sz val="12"/>
        <rFont val="Arial"/>
        <family val="2"/>
      </rPr>
      <t>3</t>
    </r>
    <r>
      <rPr>
        <sz val="12"/>
        <rFont val="Arial"/>
        <family val="2"/>
      </rPr>
      <t>)=</t>
    </r>
  </si>
  <si>
    <t>Allowed Users to Select Locked cells</t>
  </si>
  <si>
    <t>Version 5 Changes</t>
  </si>
  <si>
    <t>Tc on DA Sheets</t>
  </si>
  <si>
    <r>
      <t>Minimum Volume to be Managed for DA
HIGH DENSITY REQUIREMENT = (ft</t>
    </r>
    <r>
      <rPr>
        <vertAlign val="superscript"/>
        <sz val="12"/>
        <color theme="1"/>
        <rFont val="Arial"/>
        <family val="2"/>
      </rPr>
      <t>3</t>
    </r>
    <r>
      <rPr>
        <sz val="12"/>
        <color theme="1"/>
        <rFont val="Arial"/>
        <family val="2"/>
      </rPr>
      <t>) =</t>
    </r>
  </si>
  <si>
    <t>Nitrogen Loading: Nitrogen Loading Rate for the site is calculated based on the Hydrologic Soil Groups and site acreages imputed on DA worksheets. This worksheet calculates the total amount of nitrogen loading. Nitrogen total will be used on following BMP worksheets.</t>
  </si>
  <si>
    <t>TOTAL SITE NITROGEN TO MITIGATE (lbs/yr)_Wendell Only=</t>
  </si>
  <si>
    <t>TOTAL SITE NITROGEN TO MITIGATE (lbs/yr) specified target for Wendell Only</t>
  </si>
  <si>
    <r>
      <t xml:space="preserve">Notes:
DA is divided into sub-DAs to account for BMP watersheds and for remaining areas not managed by a BMP. </t>
    </r>
    <r>
      <rPr>
        <sz val="12"/>
        <color theme="1"/>
        <rFont val="Arial"/>
        <family val="2"/>
      </rPr>
      <t xml:space="preserve">
BMPs in a series should be within the same sub-DA. Generally, subbasin data should be entered with the upstream subbasin completed first. Likewise, BMPs should be entered with the upstream BMP listed first (BMPs in a series assume constant storage volume).</t>
    </r>
  </si>
  <si>
    <t>Remove BMP DA autopopulation and associated notes</t>
  </si>
  <si>
    <r>
      <rPr>
        <b/>
        <sz val="12"/>
        <color theme="1"/>
        <rFont val="Arial"/>
        <family val="2"/>
      </rPr>
      <t xml:space="preserve">Additional LID Techniques (check all that apply)
</t>
    </r>
    <r>
      <rPr>
        <sz val="12"/>
        <color theme="1"/>
        <rFont val="Arial"/>
        <family val="2"/>
      </rPr>
      <t xml:space="preserve">At least </t>
    </r>
    <r>
      <rPr>
        <b/>
        <sz val="12"/>
        <color theme="1"/>
        <rFont val="Arial"/>
        <family val="2"/>
      </rPr>
      <t>two</t>
    </r>
    <r>
      <rPr>
        <sz val="12"/>
        <color theme="1"/>
        <rFont val="Arial"/>
        <family val="2"/>
      </rPr>
      <t xml:space="preserve"> (</t>
    </r>
    <r>
      <rPr>
        <b/>
        <sz val="12"/>
        <color theme="1"/>
        <rFont val="Arial"/>
        <family val="2"/>
      </rPr>
      <t>one for Wendell</t>
    </r>
    <r>
      <rPr>
        <sz val="12"/>
        <color theme="1"/>
        <rFont val="Arial"/>
        <family val="2"/>
      </rPr>
      <t xml:space="preserve">) of the following techniques must be used to achieve LID classification: </t>
    </r>
  </si>
  <si>
    <r>
      <t xml:space="preserve">Use of permeable pavement for </t>
    </r>
    <r>
      <rPr>
        <u/>
        <sz val="12"/>
        <color theme="1"/>
        <rFont val="Arial"/>
        <family val="2"/>
      </rPr>
      <t>all</t>
    </r>
    <r>
      <rPr>
        <sz val="12"/>
        <color theme="1"/>
        <rFont val="Arial"/>
        <family val="2"/>
      </rPr>
      <t xml:space="preserve"> private driveways, private roads, sidewalks and parking areas</t>
    </r>
  </si>
  <si>
    <r>
      <t xml:space="preserve">Note:Wendell does not require that </t>
    </r>
    <r>
      <rPr>
        <u/>
        <sz val="12"/>
        <color theme="1"/>
        <rFont val="Arial"/>
        <family val="2"/>
      </rPr>
      <t>all</t>
    </r>
    <r>
      <rPr>
        <sz val="12"/>
        <color theme="1"/>
        <rFont val="Arial"/>
        <family val="2"/>
      </rPr>
      <t xml:space="preserve"> private driveways, private roads, sidewalks and parking areas implement permeable pavement to claim use of this technique for LID classification</t>
    </r>
  </si>
  <si>
    <t>Note: Minimal 5 minute Tc</t>
  </si>
  <si>
    <t>made Engineer override possible, removed 5 min autopopulation and changed calc note to "Note: Minimal 5 minute Tc"</t>
  </si>
  <si>
    <t>Site Summary</t>
  </si>
  <si>
    <t>TOTAL SITE NITROGEN LEFT TO MITIGATE_Wendell Only (lbs)=</t>
  </si>
  <si>
    <t>Wendell:
- Requires on-site mitigation down to 3.6 lbs/yr unless LID classification is achieved
Rolesville:
- Projects that are required to provide Stormwater Control Measures (SCMs) shall provide nitrogen loading reduction
Zebulon:
- Projects shall provide nitrogen loading reduction onsite.</t>
  </si>
  <si>
    <t>Added notes to Site Summary and to BMP summary to clarify N requirements</t>
  </si>
  <si>
    <t xml:space="preserve">Nitrogen Loading: Nitrogen mitigated for the site is calculated based on the inputs on DA BMP worksheets. This worksheet calculates the total amount of nitrogen left to be mitigated for the site (Wendell only). Site expansions use the aportioning method. </t>
  </si>
  <si>
    <t>Last Updated:</t>
  </si>
  <si>
    <t>Sidney Creek is a proposed subdivision in Zebulon, Wake County of NC HWY 39 and Chamblee Road on where Wake County is adjacent to Johnston County. The existing site is an undveloped combination of forrest and farm land. This is Phase One of a multiple phase +/- 650 lot development with  three stormwater control measures, water, sewer, and other required utilities. For more detail see the Stormwater Calculations book.</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</si>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</sst>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00"/>
    <numFmt numFmtId="165" formatCode="0.0"/>
    <numFmt numFmtId="166" formatCode="#,##0.0"/>
    <numFmt numFmtId="167" formatCode="[&lt;=9999999]###\-####;\(###\)\ ###\-####"/>
    <numFmt numFmtId="168" formatCode="0.00000"/>
    <numFmt numFmtId="169" formatCode="_(* #,##0_);_(* \(#,##0\);_(* &quot;-&quot;??_);_(@_)"/>
    <numFmt numFmtId="170" formatCode="[$-F800]dddd\,\ mmmm\ dd\,\ yyyy"/>
  </numFmts>
  <fonts count="85" x14ac:knownFonts="1">
    <font>
      <sz val="12"/>
      <color theme="1"/>
      <name val="Arial"/>
      <family val="2"/>
    </font>
    <font>
      <sz val="12"/>
      <color theme="1"/>
      <name val="Arial"/>
      <family val="2"/>
    </font>
    <font>
      <sz val="12"/>
      <color rgb="FFFF0000"/>
      <name val="Arial"/>
      <family val="2"/>
    </font>
    <font>
      <b/>
      <sz val="12"/>
      <color theme="1"/>
      <name val="Arial"/>
      <family val="2"/>
    </font>
    <font>
      <b/>
      <sz val="14"/>
      <name val="Arial"/>
      <family val="2"/>
    </font>
    <font>
      <sz val="10"/>
      <name val="Arial"/>
      <family val="2"/>
    </font>
    <font>
      <sz val="12"/>
      <name val="Arial"/>
      <family val="2"/>
    </font>
    <font>
      <b/>
      <sz val="12"/>
      <name val="Arial"/>
      <family val="2"/>
    </font>
    <font>
      <b/>
      <sz val="14"/>
      <color theme="1"/>
      <name val="Arial"/>
      <family val="2"/>
    </font>
    <font>
      <sz val="12"/>
      <color theme="1"/>
      <name val="Arial"/>
      <family val="2"/>
    </font>
    <font>
      <vertAlign val="superscript"/>
      <sz val="10"/>
      <name val="Arial"/>
      <family val="2"/>
    </font>
    <font>
      <b/>
      <u/>
      <sz val="14"/>
      <color theme="1"/>
      <name val="Arial"/>
      <family val="2"/>
    </font>
    <font>
      <u/>
      <sz val="12"/>
      <name val="Arial"/>
      <family val="2"/>
    </font>
    <font>
      <b/>
      <sz val="12"/>
      <color rgb="FFFF0000"/>
      <name val="Arial"/>
      <family val="2"/>
    </font>
    <font>
      <b/>
      <sz val="10"/>
      <color indexed="81"/>
      <name val="Tahoma"/>
      <family val="2"/>
    </font>
    <font>
      <b/>
      <sz val="10"/>
      <name val="Arial"/>
      <family val="2"/>
    </font>
    <font>
      <sz val="14"/>
      <name val="Arial"/>
      <family val="2"/>
    </font>
    <font>
      <u/>
      <sz val="10"/>
      <name val="Arial"/>
      <family val="2"/>
    </font>
    <font>
      <b/>
      <vertAlign val="subscript"/>
      <sz val="12"/>
      <name val="Arial"/>
      <family val="2"/>
    </font>
    <font>
      <b/>
      <u/>
      <sz val="12"/>
      <name val="Arial"/>
      <family val="2"/>
    </font>
    <font>
      <u/>
      <sz val="12"/>
      <color theme="10"/>
      <name val="Arial"/>
      <family val="2"/>
    </font>
    <font>
      <b/>
      <sz val="10"/>
      <color indexed="10"/>
      <name val="Arial"/>
      <family val="2"/>
    </font>
    <font>
      <b/>
      <sz val="11"/>
      <name val="Arial"/>
      <family val="2"/>
    </font>
    <font>
      <sz val="11"/>
      <name val="Arial"/>
      <family val="2"/>
    </font>
    <font>
      <sz val="14"/>
      <color theme="1"/>
      <name val="Arial"/>
      <family val="2"/>
    </font>
    <font>
      <sz val="10"/>
      <name val="Arial"/>
      <family val="2"/>
    </font>
    <font>
      <vertAlign val="superscript"/>
      <sz val="12"/>
      <color theme="1"/>
      <name val="Arial"/>
      <family val="2"/>
    </font>
    <font>
      <vertAlign val="subscript"/>
      <sz val="12"/>
      <color theme="1"/>
      <name val="Arial"/>
      <family val="2"/>
    </font>
    <font>
      <b/>
      <vertAlign val="subscript"/>
      <sz val="14"/>
      <color theme="1"/>
      <name val="Arial"/>
      <family val="2"/>
    </font>
    <font>
      <vertAlign val="subscript"/>
      <sz val="12"/>
      <name val="Arial"/>
      <family val="2"/>
    </font>
    <font>
      <vertAlign val="superscript"/>
      <sz val="12"/>
      <name val="Arial"/>
      <family val="2"/>
    </font>
    <font>
      <u/>
      <sz val="12"/>
      <color theme="1"/>
      <name val="Arial"/>
      <family val="2"/>
    </font>
    <font>
      <u/>
      <vertAlign val="superscript"/>
      <sz val="12"/>
      <color theme="1"/>
      <name val="Arial"/>
      <family val="2"/>
    </font>
    <font>
      <i/>
      <sz val="14"/>
      <color theme="1"/>
      <name val="Arial"/>
      <family val="2"/>
    </font>
    <font>
      <b/>
      <sz val="16"/>
      <name val="Arial"/>
      <family val="2"/>
    </font>
    <font>
      <b/>
      <vertAlign val="superscript"/>
      <sz val="12"/>
      <name val="Arial"/>
      <family val="2"/>
    </font>
    <font>
      <i/>
      <sz val="12"/>
      <name val="Arial"/>
      <family val="2"/>
    </font>
    <font>
      <b/>
      <vertAlign val="subscript"/>
      <sz val="12"/>
      <color theme="1"/>
      <name val="Arial"/>
      <family val="2"/>
    </font>
    <font>
      <sz val="11"/>
      <color theme="1"/>
      <name val="Arial"/>
      <family val="2"/>
    </font>
    <font>
      <sz val="10"/>
      <color theme="1"/>
      <name val="Arial"/>
      <family val="2"/>
    </font>
    <font>
      <i/>
      <sz val="11"/>
      <color theme="1"/>
      <name val="Arial"/>
      <family val="2"/>
    </font>
    <font>
      <i/>
      <vertAlign val="subscript"/>
      <sz val="11"/>
      <color theme="1"/>
      <name val="Arial"/>
      <family val="2"/>
    </font>
    <font>
      <b/>
      <vertAlign val="superscript"/>
      <sz val="12"/>
      <color theme="1"/>
      <name val="Arial"/>
      <family val="2"/>
    </font>
    <font>
      <b/>
      <vertAlign val="subscript"/>
      <sz val="12"/>
      <color rgb="FFFF0000"/>
      <name val="Arial"/>
      <family val="2"/>
    </font>
    <font>
      <b/>
      <sz val="18"/>
      <color theme="1"/>
      <name val="Arial"/>
      <family val="2"/>
    </font>
    <font>
      <i/>
      <sz val="12"/>
      <color theme="1"/>
      <name val="Arial"/>
      <family val="2"/>
    </font>
    <font>
      <b/>
      <u/>
      <sz val="12"/>
      <color theme="10"/>
      <name val="Arial"/>
      <family val="2"/>
    </font>
    <font>
      <sz val="9"/>
      <color theme="1"/>
      <name val="Arial"/>
      <family val="2"/>
    </font>
    <font>
      <u/>
      <sz val="9"/>
      <color theme="1"/>
      <name val="Arial"/>
      <family val="2"/>
    </font>
    <font>
      <b/>
      <sz val="12"/>
      <color theme="0"/>
      <name val="Arial"/>
      <family val="2"/>
    </font>
    <font>
      <b/>
      <u/>
      <sz val="18"/>
      <name val="Arial"/>
      <family val="2"/>
    </font>
    <font>
      <sz val="12"/>
      <color theme="0"/>
      <name val="Arial"/>
      <family val="2"/>
    </font>
    <font>
      <sz val="10"/>
      <color theme="0"/>
      <name val="Arial"/>
      <family val="2"/>
    </font>
    <font>
      <vertAlign val="subscript"/>
      <sz val="14"/>
      <name val="Arial"/>
      <family val="2"/>
    </font>
    <font>
      <b/>
      <sz val="10"/>
      <color theme="0"/>
      <name val="Arial"/>
      <family val="2"/>
    </font>
    <font>
      <vertAlign val="subscript"/>
      <sz val="11"/>
      <name val="Arial"/>
      <family val="2"/>
    </font>
    <font>
      <vertAlign val="subscript"/>
      <sz val="11"/>
      <color theme="1"/>
      <name val="Arial"/>
      <family val="2"/>
    </font>
    <font>
      <sz val="10"/>
      <color indexed="81"/>
      <name val="Tahoma"/>
      <family val="2"/>
    </font>
    <font>
      <sz val="10"/>
      <color rgb="FFFF0000"/>
      <name val="Arial"/>
      <family val="2"/>
    </font>
    <font>
      <b/>
      <sz val="16"/>
      <color theme="1"/>
      <name val="Arial"/>
      <family val="2"/>
    </font>
    <font>
      <b/>
      <sz val="12"/>
      <color theme="5"/>
      <name val="Arial"/>
      <family val="2"/>
    </font>
    <font>
      <sz val="11"/>
      <color theme="0"/>
      <name val="Arial"/>
      <family val="2"/>
    </font>
    <font>
      <vertAlign val="subscript"/>
      <sz val="12"/>
      <color theme="0"/>
      <name val="Arial"/>
      <family val="2"/>
    </font>
    <font>
      <u/>
      <sz val="12"/>
      <color theme="0"/>
      <name val="Arial"/>
      <family val="2"/>
    </font>
    <font>
      <b/>
      <sz val="12"/>
      <color indexed="81"/>
      <name val="Tahoma"/>
      <family val="2"/>
    </font>
    <font>
      <vertAlign val="subscript"/>
      <sz val="12"/>
      <color rgb="FFFF0000"/>
      <name val="Arial"/>
      <family val="2"/>
    </font>
    <font>
      <b/>
      <sz val="12"/>
      <color theme="3" tint="0.59999389629810485"/>
      <name val="Arial"/>
      <family val="2"/>
    </font>
    <font>
      <sz val="12"/>
      <color theme="3" tint="0.59999389629810485"/>
      <name val="Arial"/>
      <family val="2"/>
    </font>
    <font>
      <sz val="12"/>
      <color theme="3"/>
      <name val="Arial"/>
      <family val="2"/>
    </font>
    <font>
      <sz val="11"/>
      <color indexed="81"/>
      <name val="Tahoma"/>
      <family val="2"/>
    </font>
    <font>
      <i/>
      <sz val="10"/>
      <name val="Arial"/>
      <family val="2"/>
    </font>
    <font>
      <sz val="18"/>
      <color rgb="FFFF0000"/>
      <name val="Arial"/>
      <family val="2"/>
    </font>
    <font>
      <strike/>
      <sz val="12"/>
      <color rgb="FFFF0000"/>
      <name val="Arial"/>
      <family val="2"/>
    </font>
    <font>
      <strike/>
      <vertAlign val="subscript"/>
      <sz val="12"/>
      <color rgb="FFFF0000"/>
      <name val="Arial"/>
      <family val="2"/>
    </font>
    <font>
      <strike/>
      <sz val="11"/>
      <color rgb="FFFF0000"/>
      <name val="Arial"/>
      <family val="2"/>
    </font>
    <font>
      <strike/>
      <u/>
      <sz val="12"/>
      <color rgb="FFFF0000"/>
      <name val="Arial"/>
      <family val="2"/>
    </font>
    <font>
      <b/>
      <sz val="10"/>
      <color rgb="FFFF0000"/>
      <name val="Arial"/>
      <family val="2"/>
    </font>
    <font>
      <vertAlign val="superscript"/>
      <sz val="11"/>
      <color theme="1"/>
      <name val="Arial"/>
      <family val="2"/>
    </font>
    <font>
      <sz val="12"/>
      <color indexed="8"/>
      <name val="Arial"/>
      <family val="2"/>
    </font>
    <font>
      <sz val="8"/>
      <color indexed="81"/>
      <name val="Tahoma"/>
      <family val="2"/>
    </font>
    <font>
      <b/>
      <sz val="14"/>
      <color indexed="81"/>
      <name val="Tahoma"/>
      <family val="2"/>
    </font>
    <font>
      <sz val="14"/>
      <color indexed="81"/>
      <name val="Arial"/>
      <family val="2"/>
    </font>
    <font>
      <sz val="14"/>
      <color indexed="81"/>
      <name val="Tahoma"/>
      <family val="2"/>
    </font>
    <font>
      <sz val="9"/>
      <color indexed="81"/>
      <name val="Tahoma"/>
      <family val="2"/>
    </font>
    <font>
      <b/>
      <sz val="9"/>
      <color indexed="81"/>
      <name val="Tahoma"/>
      <family val="2"/>
    </font>
  </fonts>
  <fills count="8">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FF0000"/>
        <bgColor indexed="64"/>
      </patternFill>
    </fill>
    <fill>
      <patternFill patternType="solid">
        <fgColor rgb="FFFFFF00"/>
        <bgColor indexed="64"/>
      </patternFill>
    </fill>
  </fills>
  <borders count="117">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ck">
        <color indexed="64"/>
      </left>
      <right/>
      <top/>
      <bottom style="thick">
        <color indexed="64"/>
      </bottom>
      <diagonal/>
    </border>
    <border>
      <left style="thick">
        <color auto="1"/>
      </left>
      <right/>
      <top/>
      <bottom/>
      <diagonal/>
    </border>
    <border>
      <left style="thick">
        <color auto="1"/>
      </left>
      <right/>
      <top style="medium">
        <color indexed="64"/>
      </top>
      <bottom/>
      <diagonal/>
    </border>
    <border>
      <left style="thick">
        <color auto="1"/>
      </left>
      <right/>
      <top/>
      <bottom style="medium">
        <color indexed="64"/>
      </bottom>
      <diagonal/>
    </border>
    <border>
      <left style="medium">
        <color indexed="64"/>
      </left>
      <right style="thin">
        <color indexed="64"/>
      </right>
      <top/>
      <bottom style="thin">
        <color indexed="64"/>
      </bottom>
      <diagonal/>
    </border>
    <border>
      <left/>
      <right/>
      <top style="thick">
        <color auto="1"/>
      </top>
      <bottom/>
      <diagonal/>
    </border>
    <border>
      <left style="thin">
        <color indexed="64"/>
      </left>
      <right style="medium">
        <color indexed="64"/>
      </right>
      <top/>
      <bottom style="thin">
        <color indexed="64"/>
      </bottom>
      <diagonal/>
    </border>
    <border>
      <left/>
      <right style="thick">
        <color indexed="64"/>
      </right>
      <top style="thin">
        <color indexed="64"/>
      </top>
      <bottom style="thin">
        <color indexed="64"/>
      </bottom>
      <diagonal/>
    </border>
    <border>
      <left style="medium">
        <color indexed="64"/>
      </left>
      <right/>
      <top style="medium">
        <color indexed="64"/>
      </top>
      <bottom style="thin">
        <color auto="1"/>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medium">
        <color indexed="64"/>
      </left>
      <right style="medium">
        <color indexed="64"/>
      </right>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ck">
        <color indexed="64"/>
      </left>
      <right style="thick">
        <color indexed="64"/>
      </right>
      <top style="thin">
        <color indexed="64"/>
      </top>
      <bottom style="thick">
        <color indexed="64"/>
      </bottom>
      <diagonal/>
    </border>
    <border>
      <left style="thin">
        <color indexed="64"/>
      </left>
      <right style="thick">
        <color indexed="64"/>
      </right>
      <top style="thin">
        <color indexed="64"/>
      </top>
      <bottom/>
      <diagonal/>
    </border>
    <border>
      <left style="thick">
        <color indexed="64"/>
      </left>
      <right style="thick">
        <color indexed="64"/>
      </right>
      <top/>
      <bottom style="thin">
        <color indexed="64"/>
      </bottom>
      <diagonal/>
    </border>
    <border>
      <left style="thin">
        <color indexed="64"/>
      </left>
      <right style="thin">
        <color indexed="64"/>
      </right>
      <top style="thick">
        <color indexed="64"/>
      </top>
      <bottom style="thick">
        <color indexed="64"/>
      </bottom>
      <diagonal/>
    </border>
    <border>
      <left style="thick">
        <color indexed="64"/>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top style="thin">
        <color indexed="64"/>
      </top>
      <bottom/>
      <diagonal/>
    </border>
    <border>
      <left style="thin">
        <color auto="1"/>
      </left>
      <right/>
      <top/>
      <bottom style="thick">
        <color auto="1"/>
      </bottom>
      <diagonal/>
    </border>
    <border>
      <left style="thick">
        <color indexed="64"/>
      </left>
      <right style="thick">
        <color indexed="64"/>
      </right>
      <top/>
      <bottom style="thick">
        <color auto="1"/>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auto="1"/>
      </right>
      <top/>
      <bottom style="medium">
        <color indexed="64"/>
      </bottom>
      <diagonal/>
    </border>
    <border>
      <left/>
      <right style="thick">
        <color indexed="64"/>
      </right>
      <top/>
      <bottom style="thick">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ck">
        <color indexed="64"/>
      </top>
      <bottom style="thick">
        <color indexed="64"/>
      </bottom>
      <diagonal/>
    </border>
    <border>
      <left style="thin">
        <color indexed="64"/>
      </left>
      <right style="medium">
        <color indexed="64"/>
      </right>
      <top style="thick">
        <color indexed="64"/>
      </top>
      <bottom style="thick">
        <color indexed="64"/>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s>
  <cellStyleXfs count="31">
    <xf numFmtId="0" fontId="0" fillId="0" borderId="0"/>
    <xf numFmtId="2" fontId="5" fillId="0" borderId="0"/>
    <xf numFmtId="2" fontId="5" fillId="0" borderId="0"/>
    <xf numFmtId="2" fontId="5" fillId="0" borderId="0"/>
    <xf numFmtId="0" fontId="5" fillId="0" borderId="0"/>
    <xf numFmtId="0" fontId="5" fillId="0" borderId="0"/>
    <xf numFmtId="0" fontId="5" fillId="0" borderId="0"/>
    <xf numFmtId="0" fontId="5" fillId="0" borderId="0"/>
    <xf numFmtId="0" fontId="5" fillId="0" borderId="0"/>
    <xf numFmtId="0" fontId="20" fillId="0" borderId="0" applyNumberFormat="0" applyFill="0" applyBorder="0" applyAlignment="0" applyProtection="0">
      <alignment vertical="top"/>
      <protection locked="0"/>
    </xf>
    <xf numFmtId="0" fontId="5" fillId="0" borderId="0"/>
    <xf numFmtId="0" fontId="25" fillId="0" borderId="0"/>
    <xf numFmtId="0" fontId="5" fillId="0" borderId="0"/>
    <xf numFmtId="0" fontId="5" fillId="0" borderId="0"/>
    <xf numFmtId="0" fontId="5" fillId="0" borderId="0"/>
    <xf numFmtId="0" fontId="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 fillId="0" borderId="0" applyFont="0" applyFill="0" applyBorder="0" applyAlignment="0" applyProtection="0"/>
    <xf numFmtId="43" fontId="78" fillId="0" borderId="0" applyFont="0" applyFill="0" applyBorder="0" applyAlignment="0" applyProtection="0"/>
  </cellStyleXfs>
  <cellXfs count="1322">
    <xf numFmtId="0" fontId="0" fillId="0" borderId="0" xfId="0"/>
    <xf numFmtId="0" fontId="0" fillId="0" borderId="0" xfId="0" applyBorder="1"/>
    <xf numFmtId="0" fontId="5" fillId="0" borderId="0" xfId="8" applyFont="1" applyFill="1" applyBorder="1" applyProtection="1"/>
    <xf numFmtId="0" fontId="0" fillId="3" borderId="0" xfId="0" applyFill="1" applyBorder="1"/>
    <xf numFmtId="0" fontId="0" fillId="0" borderId="0" xfId="0" applyAlignment="1">
      <alignment vertical="center"/>
    </xf>
    <xf numFmtId="0" fontId="0" fillId="3" borderId="0" xfId="0" applyFill="1" applyBorder="1" applyAlignment="1">
      <alignment horizontal="right" vertical="center"/>
    </xf>
    <xf numFmtId="0" fontId="6" fillId="3" borderId="0" xfId="0" applyFont="1" applyFill="1" applyBorder="1" applyAlignment="1">
      <alignment horizontal="center" vertical="center"/>
    </xf>
    <xf numFmtId="0" fontId="0" fillId="3" borderId="0" xfId="0" applyFont="1" applyFill="1" applyBorder="1" applyAlignment="1">
      <alignment horizontal="right" vertical="center"/>
    </xf>
    <xf numFmtId="0" fontId="9" fillId="3" borderId="0" xfId="0" applyFont="1" applyFill="1" applyBorder="1" applyAlignment="1">
      <alignment vertical="center"/>
    </xf>
    <xf numFmtId="0" fontId="9" fillId="3" borderId="0" xfId="0" applyFont="1" applyFill="1" applyBorder="1" applyAlignment="1"/>
    <xf numFmtId="0" fontId="0" fillId="3" borderId="0" xfId="0" applyFill="1" applyBorder="1" applyAlignment="1"/>
    <xf numFmtId="0" fontId="0" fillId="3" borderId="10" xfId="0" applyFill="1" applyBorder="1"/>
    <xf numFmtId="0" fontId="0" fillId="3" borderId="6" xfId="0" applyFill="1" applyBorder="1" applyAlignment="1">
      <alignment horizontal="right"/>
    </xf>
    <xf numFmtId="0" fontId="6" fillId="3" borderId="10" xfId="10" applyFont="1" applyFill="1" applyBorder="1" applyAlignment="1" applyProtection="1">
      <alignment vertical="center"/>
    </xf>
    <xf numFmtId="0" fontId="9" fillId="3" borderId="10" xfId="0" applyFont="1" applyFill="1" applyBorder="1" applyAlignment="1"/>
    <xf numFmtId="0" fontId="0" fillId="3" borderId="37" xfId="0" applyFill="1" applyBorder="1" applyAlignment="1">
      <alignment horizontal="center" vertical="center"/>
    </xf>
    <xf numFmtId="0" fontId="6" fillId="3" borderId="37" xfId="0" applyFont="1" applyFill="1" applyBorder="1" applyAlignment="1">
      <alignment horizontal="center" vertical="center"/>
    </xf>
    <xf numFmtId="0" fontId="0" fillId="3" borderId="6" xfId="0" applyFill="1" applyBorder="1" applyAlignment="1">
      <alignment horizontal="right" vertical="center"/>
    </xf>
    <xf numFmtId="0" fontId="31" fillId="3" borderId="0" xfId="0" applyFont="1" applyFill="1" applyBorder="1"/>
    <xf numFmtId="0" fontId="2" fillId="3" borderId="0" xfId="0" applyFont="1" applyFill="1" applyBorder="1"/>
    <xf numFmtId="0" fontId="0" fillId="3" borderId="13" xfId="0" applyFill="1" applyBorder="1"/>
    <xf numFmtId="2" fontId="0" fillId="3" borderId="34" xfId="0" applyNumberFormat="1" applyFill="1" applyBorder="1" applyAlignment="1">
      <alignment horizontal="center" vertical="center"/>
    </xf>
    <xf numFmtId="0" fontId="3" fillId="3" borderId="22" xfId="0" applyFont="1" applyFill="1" applyBorder="1" applyAlignment="1">
      <alignment vertical="center"/>
    </xf>
    <xf numFmtId="0" fontId="3" fillId="3" borderId="17" xfId="0" applyFont="1" applyFill="1" applyBorder="1" applyAlignment="1">
      <alignment vertical="center"/>
    </xf>
    <xf numFmtId="0" fontId="3" fillId="3" borderId="23" xfId="0" applyFont="1" applyFill="1" applyBorder="1" applyAlignment="1">
      <alignment vertical="center"/>
    </xf>
    <xf numFmtId="0" fontId="0" fillId="3" borderId="22" xfId="0" applyFill="1" applyBorder="1" applyAlignment="1">
      <alignment vertical="center"/>
    </xf>
    <xf numFmtId="0" fontId="0" fillId="3" borderId="37" xfId="0" applyFill="1" applyBorder="1" applyAlignment="1">
      <alignment vertical="center"/>
    </xf>
    <xf numFmtId="0" fontId="0" fillId="3" borderId="23" xfId="0" applyFill="1" applyBorder="1" applyAlignment="1">
      <alignment vertical="center"/>
    </xf>
    <xf numFmtId="0" fontId="0" fillId="3" borderId="35" xfId="0" applyFill="1" applyBorder="1" applyAlignment="1">
      <alignment vertical="center"/>
    </xf>
    <xf numFmtId="0" fontId="0" fillId="3" borderId="36" xfId="0" applyFill="1" applyBorder="1" applyAlignment="1">
      <alignment vertical="center"/>
    </xf>
    <xf numFmtId="0" fontId="0" fillId="3" borderId="12" xfId="0" applyFill="1" applyBorder="1" applyAlignment="1"/>
    <xf numFmtId="0" fontId="0" fillId="3" borderId="10" xfId="0" applyFill="1" applyBorder="1" applyAlignment="1"/>
    <xf numFmtId="0" fontId="6" fillId="3" borderId="0" xfId="0" applyFont="1" applyFill="1" applyBorder="1" applyAlignment="1">
      <alignment horizontal="left" vertical="center"/>
    </xf>
    <xf numFmtId="0" fontId="26" fillId="3" borderId="6" xfId="0" applyFont="1" applyFill="1" applyBorder="1"/>
    <xf numFmtId="0" fontId="26" fillId="3" borderId="11" xfId="0" applyFont="1" applyFill="1" applyBorder="1"/>
    <xf numFmtId="0" fontId="25" fillId="3" borderId="6" xfId="11" applyFill="1" applyBorder="1" applyProtection="1"/>
    <xf numFmtId="0" fontId="25" fillId="3" borderId="0" xfId="11" applyFill="1" applyBorder="1" applyProtection="1"/>
    <xf numFmtId="0" fontId="5" fillId="3" borderId="0" xfId="11" applyFont="1" applyFill="1" applyBorder="1" applyProtection="1"/>
    <xf numFmtId="0" fontId="1" fillId="3" borderId="6" xfId="0" applyFont="1" applyFill="1" applyBorder="1"/>
    <xf numFmtId="0" fontId="1" fillId="3" borderId="0" xfId="0" applyFont="1" applyFill="1" applyBorder="1"/>
    <xf numFmtId="0" fontId="1" fillId="3" borderId="12" xfId="0" applyFont="1" applyFill="1" applyBorder="1"/>
    <xf numFmtId="0" fontId="1" fillId="3" borderId="13" xfId="0" applyFont="1" applyFill="1" applyBorder="1"/>
    <xf numFmtId="0" fontId="6" fillId="3" borderId="0" xfId="11" applyFont="1" applyFill="1" applyBorder="1" applyProtection="1"/>
    <xf numFmtId="0" fontId="0" fillId="3" borderId="6" xfId="0" applyFill="1" applyBorder="1" applyAlignment="1">
      <alignment vertical="center"/>
    </xf>
    <xf numFmtId="0" fontId="5" fillId="0" borderId="0" xfId="8" applyBorder="1" applyAlignment="1" applyProtection="1"/>
    <xf numFmtId="0" fontId="6" fillId="3" borderId="0" xfId="10" applyFont="1" applyFill="1" applyBorder="1" applyAlignment="1" applyProtection="1">
      <alignment vertical="center"/>
    </xf>
    <xf numFmtId="0" fontId="0" fillId="3" borderId="12" xfId="0" applyFill="1" applyBorder="1" applyAlignment="1">
      <alignment horizontal="center" vertical="center"/>
    </xf>
    <xf numFmtId="0" fontId="0" fillId="0" borderId="0" xfId="0"/>
    <xf numFmtId="2" fontId="7" fillId="3" borderId="17" xfId="3" applyFont="1" applyFill="1" applyBorder="1" applyAlignment="1" applyProtection="1"/>
    <xf numFmtId="2" fontId="7" fillId="3" borderId="23" xfId="3" applyFont="1" applyFill="1" applyBorder="1" applyAlignment="1" applyProtection="1"/>
    <xf numFmtId="2" fontId="7" fillId="3" borderId="22" xfId="3" applyFont="1" applyFill="1" applyBorder="1" applyAlignment="1" applyProtection="1"/>
    <xf numFmtId="0" fontId="5" fillId="3" borderId="6" xfId="10" applyFill="1" applyBorder="1" applyAlignment="1" applyProtection="1">
      <alignment horizontal="right" vertical="center"/>
    </xf>
    <xf numFmtId="0" fontId="6" fillId="4" borderId="31" xfId="0" applyFont="1" applyFill="1" applyBorder="1" applyAlignment="1" applyProtection="1">
      <alignment horizontal="center" vertical="center" wrapText="1"/>
    </xf>
    <xf numFmtId="164" fontId="2" fillId="3" borderId="0" xfId="0" applyNumberFormat="1" applyFont="1" applyFill="1" applyBorder="1" applyAlignment="1">
      <alignment horizontal="center" vertical="center"/>
    </xf>
    <xf numFmtId="0" fontId="2" fillId="3" borderId="0" xfId="0" applyFont="1" applyFill="1" applyBorder="1" applyAlignment="1">
      <alignment horizontal="center" vertical="center"/>
    </xf>
    <xf numFmtId="0" fontId="9" fillId="3" borderId="6" xfId="0" applyFont="1" applyFill="1" applyBorder="1"/>
    <xf numFmtId="0" fontId="9" fillId="3" borderId="0" xfId="0" applyFont="1" applyFill="1" applyBorder="1"/>
    <xf numFmtId="0" fontId="9" fillId="3" borderId="10" xfId="0" applyFont="1" applyFill="1" applyBorder="1"/>
    <xf numFmtId="0" fontId="9" fillId="3" borderId="0" xfId="0" applyFont="1" applyFill="1"/>
    <xf numFmtId="0" fontId="5" fillId="3" borderId="0" xfId="8" applyFill="1" applyBorder="1" applyProtection="1"/>
    <xf numFmtId="0" fontId="5" fillId="3" borderId="0" xfId="8" applyFill="1" applyBorder="1" applyAlignment="1" applyProtection="1"/>
    <xf numFmtId="0" fontId="7" fillId="4" borderId="25" xfId="0" applyFont="1" applyFill="1" applyBorder="1" applyAlignment="1" applyProtection="1">
      <alignment vertical="center"/>
    </xf>
    <xf numFmtId="0" fontId="7" fillId="4" borderId="42" xfId="0" applyFont="1" applyFill="1" applyBorder="1" applyAlignment="1" applyProtection="1">
      <alignment horizontal="right" vertical="center"/>
    </xf>
    <xf numFmtId="0" fontId="0" fillId="0" borderId="0" xfId="0" applyBorder="1"/>
    <xf numFmtId="0" fontId="16" fillId="3" borderId="6" xfId="10" applyFont="1" applyFill="1" applyBorder="1" applyAlignment="1" applyProtection="1">
      <alignment horizontal="center" vertical="center"/>
    </xf>
    <xf numFmtId="0" fontId="16" fillId="3" borderId="0" xfId="10" applyFont="1" applyFill="1" applyBorder="1" applyAlignment="1" applyProtection="1">
      <alignment horizontal="center" vertical="center"/>
    </xf>
    <xf numFmtId="0" fontId="26" fillId="3" borderId="0" xfId="0" applyFont="1" applyFill="1" applyBorder="1"/>
    <xf numFmtId="0" fontId="8" fillId="3" borderId="0" xfId="0" applyFont="1" applyFill="1" applyBorder="1" applyAlignment="1"/>
    <xf numFmtId="0" fontId="6" fillId="3" borderId="0" xfId="10" applyFont="1" applyFill="1" applyBorder="1" applyAlignment="1" applyProtection="1">
      <protection locked="0"/>
    </xf>
    <xf numFmtId="0" fontId="6" fillId="3" borderId="10" xfId="10" applyFont="1" applyFill="1" applyBorder="1" applyAlignment="1" applyProtection="1">
      <protection locked="0"/>
    </xf>
    <xf numFmtId="0" fontId="0" fillId="3" borderId="11" xfId="0" applyFill="1" applyBorder="1" applyAlignment="1">
      <alignment horizontal="center" vertical="center"/>
    </xf>
    <xf numFmtId="0" fontId="26" fillId="3" borderId="12" xfId="0" applyFont="1" applyFill="1" applyBorder="1"/>
    <xf numFmtId="0" fontId="6" fillId="3" borderId="12" xfId="10" applyFont="1" applyFill="1" applyBorder="1" applyAlignment="1" applyProtection="1">
      <alignment horizontal="center"/>
      <protection locked="0"/>
    </xf>
    <xf numFmtId="0" fontId="6" fillId="3" borderId="13" xfId="10" applyFont="1" applyFill="1" applyBorder="1" applyAlignment="1" applyProtection="1">
      <alignment horizontal="center"/>
      <protection locked="0"/>
    </xf>
    <xf numFmtId="0" fontId="5" fillId="3" borderId="0" xfId="10" applyFill="1" applyBorder="1" applyAlignment="1" applyProtection="1">
      <alignment horizontal="right" vertical="center"/>
    </xf>
    <xf numFmtId="2" fontId="5" fillId="3" borderId="0" xfId="10" applyNumberFormat="1" applyFill="1" applyBorder="1" applyAlignment="1" applyProtection="1">
      <alignment horizontal="left" vertical="center"/>
    </xf>
    <xf numFmtId="2" fontId="5" fillId="3" borderId="10" xfId="10" applyNumberFormat="1" applyFill="1" applyBorder="1" applyAlignment="1" applyProtection="1">
      <alignment horizontal="left" vertical="center"/>
    </xf>
    <xf numFmtId="0" fontId="0" fillId="3" borderId="0" xfId="0" applyFill="1" applyBorder="1" applyAlignment="1">
      <alignment horizontal="left" vertical="center"/>
    </xf>
    <xf numFmtId="0" fontId="0" fillId="3" borderId="0" xfId="0" applyFill="1" applyBorder="1" applyAlignment="1">
      <alignment vertical="center"/>
    </xf>
    <xf numFmtId="0" fontId="3" fillId="3" borderId="6" xfId="0" applyFont="1" applyFill="1" applyBorder="1"/>
    <xf numFmtId="0" fontId="0" fillId="3" borderId="6" xfId="0" applyFill="1" applyBorder="1" applyAlignment="1">
      <alignment horizontal="left" vertical="center"/>
    </xf>
    <xf numFmtId="0" fontId="0" fillId="3" borderId="6" xfId="0" applyFill="1" applyBorder="1"/>
    <xf numFmtId="0" fontId="0" fillId="3" borderId="11" xfId="0" applyFill="1" applyBorder="1"/>
    <xf numFmtId="0" fontId="0" fillId="3" borderId="12" xfId="0" applyFill="1" applyBorder="1"/>
    <xf numFmtId="0" fontId="0" fillId="3" borderId="12" xfId="0" applyFill="1" applyBorder="1" applyAlignment="1">
      <alignment vertical="center"/>
    </xf>
    <xf numFmtId="164" fontId="0" fillId="3" borderId="13" xfId="0" applyNumberFormat="1" applyFill="1" applyBorder="1" applyAlignment="1">
      <alignment horizontal="center" vertical="center"/>
    </xf>
    <xf numFmtId="0" fontId="3" fillId="3" borderId="10" xfId="0" applyFont="1" applyFill="1" applyBorder="1" applyAlignment="1">
      <alignment horizontal="center" vertical="center"/>
    </xf>
    <xf numFmtId="0" fontId="5" fillId="3" borderId="0" xfId="14" applyFill="1" applyBorder="1" applyAlignment="1" applyProtection="1">
      <alignment horizontal="center" vertical="center"/>
    </xf>
    <xf numFmtId="2" fontId="5" fillId="3" borderId="6" xfId="2" applyFill="1" applyBorder="1" applyAlignment="1" applyProtection="1">
      <alignment horizontal="center" vertical="center"/>
    </xf>
    <xf numFmtId="2" fontId="5" fillId="3" borderId="11" xfId="2" applyFill="1" applyBorder="1" applyAlignment="1" applyProtection="1">
      <alignment horizontal="center" vertical="center"/>
    </xf>
    <xf numFmtId="0" fontId="5" fillId="3" borderId="12" xfId="14" applyFill="1" applyBorder="1" applyAlignment="1" applyProtection="1">
      <alignment horizontal="center" vertical="center"/>
    </xf>
    <xf numFmtId="2" fontId="15" fillId="3" borderId="6" xfId="2" applyFont="1" applyFill="1" applyBorder="1" applyAlignment="1" applyProtection="1">
      <alignment horizontal="center" vertical="center"/>
    </xf>
    <xf numFmtId="0" fontId="15" fillId="3" borderId="0" xfId="14" applyFont="1" applyFill="1" applyBorder="1" applyAlignment="1" applyProtection="1">
      <alignment horizontal="center" vertical="center"/>
    </xf>
    <xf numFmtId="0" fontId="5" fillId="3" borderId="0" xfId="10" applyFill="1" applyBorder="1" applyAlignment="1" applyProtection="1">
      <alignment horizontal="left" vertical="center"/>
    </xf>
    <xf numFmtId="0" fontId="0" fillId="3" borderId="0" xfId="0" applyFill="1" applyAlignment="1">
      <alignment vertical="center"/>
    </xf>
    <xf numFmtId="0" fontId="0" fillId="3" borderId="0" xfId="0" applyFill="1"/>
    <xf numFmtId="0" fontId="0" fillId="0" borderId="3" xfId="0" applyBorder="1" applyAlignment="1">
      <alignment horizontal="center" vertical="center"/>
    </xf>
    <xf numFmtId="0" fontId="0" fillId="3" borderId="0" xfId="0" applyFill="1" applyBorder="1"/>
    <xf numFmtId="0" fontId="0" fillId="0" borderId="33" xfId="0" applyBorder="1" applyAlignment="1">
      <alignment horizontal="center" vertical="center"/>
    </xf>
    <xf numFmtId="0" fontId="15" fillId="4" borderId="23" xfId="13" applyFont="1" applyFill="1" applyBorder="1" applyAlignment="1" applyProtection="1"/>
    <xf numFmtId="9" fontId="15" fillId="5" borderId="3" xfId="13" applyNumberFormat="1" applyFont="1" applyFill="1" applyBorder="1" applyAlignment="1" applyProtection="1">
      <alignment horizontal="center" vertical="center"/>
    </xf>
    <xf numFmtId="9" fontId="15" fillId="5" borderId="33" xfId="13" applyNumberFormat="1" applyFont="1" applyFill="1" applyBorder="1" applyAlignment="1" applyProtection="1">
      <alignment horizontal="center" vertical="center"/>
    </xf>
    <xf numFmtId="9" fontId="15" fillId="5" borderId="5" xfId="13" applyNumberFormat="1" applyFont="1" applyFill="1" applyBorder="1" applyAlignment="1" applyProtection="1">
      <alignment horizontal="center" vertical="center"/>
    </xf>
    <xf numFmtId="9" fontId="15" fillId="5" borderId="34" xfId="13" applyNumberFormat="1" applyFont="1" applyFill="1" applyBorder="1" applyAlignment="1" applyProtection="1">
      <alignment horizontal="center" vertical="center"/>
    </xf>
    <xf numFmtId="0" fontId="15" fillId="4" borderId="22" xfId="13" applyFont="1" applyFill="1" applyBorder="1" applyAlignment="1" applyProtection="1">
      <alignment horizontal="left" vertical="center"/>
    </xf>
    <xf numFmtId="0" fontId="5" fillId="3" borderId="0" xfId="14" applyFill="1" applyBorder="1" applyProtection="1"/>
    <xf numFmtId="2" fontId="5" fillId="3" borderId="0" xfId="2" applyFill="1" applyBorder="1" applyAlignment="1" applyProtection="1">
      <alignment horizontal="right"/>
    </xf>
    <xf numFmtId="2" fontId="5" fillId="3" borderId="0" xfId="2" applyFill="1" applyBorder="1" applyAlignment="1" applyProtection="1">
      <alignment horizontal="center" vertical="center"/>
    </xf>
    <xf numFmtId="0" fontId="5" fillId="3" borderId="29" xfId="14" applyFill="1" applyBorder="1" applyAlignment="1" applyProtection="1">
      <alignment horizontal="center" vertical="center"/>
    </xf>
    <xf numFmtId="2" fontId="5" fillId="3" borderId="0" xfId="2" applyFont="1" applyFill="1" applyBorder="1" applyAlignment="1" applyProtection="1">
      <alignment horizontal="center" vertical="center"/>
    </xf>
    <xf numFmtId="0" fontId="5" fillId="3" borderId="0" xfId="14" applyFill="1" applyBorder="1" applyAlignment="1" applyProtection="1">
      <alignment horizontal="center"/>
    </xf>
    <xf numFmtId="1" fontId="5" fillId="3" borderId="0" xfId="14" applyNumberFormat="1" applyFill="1" applyBorder="1" applyAlignment="1" applyProtection="1">
      <alignment horizontal="left"/>
    </xf>
    <xf numFmtId="2" fontId="5" fillId="3" borderId="0" xfId="14" applyNumberFormat="1" applyFill="1" applyBorder="1" applyProtection="1"/>
    <xf numFmtId="0" fontId="16" fillId="3" borderId="10" xfId="10" applyFont="1" applyFill="1" applyBorder="1" applyAlignment="1" applyProtection="1">
      <alignment horizontal="center" vertical="center"/>
    </xf>
    <xf numFmtId="0" fontId="5" fillId="3" borderId="10" xfId="10" applyFill="1" applyBorder="1" applyAlignment="1" applyProtection="1">
      <alignment horizontal="center" vertical="center"/>
    </xf>
    <xf numFmtId="0" fontId="5" fillId="3" borderId="10" xfId="10" applyFill="1" applyBorder="1" applyAlignment="1" applyProtection="1">
      <alignment horizontal="left" vertical="center"/>
    </xf>
    <xf numFmtId="2" fontId="52" fillId="3" borderId="0" xfId="14" applyNumberFormat="1" applyFont="1" applyFill="1" applyBorder="1" applyProtection="1"/>
    <xf numFmtId="0" fontId="52" fillId="3" borderId="0" xfId="14" applyFont="1" applyFill="1" applyBorder="1" applyProtection="1"/>
    <xf numFmtId="0" fontId="52" fillId="3" borderId="29" xfId="14" applyFont="1" applyFill="1" applyBorder="1" applyProtection="1"/>
    <xf numFmtId="2" fontId="52" fillId="3" borderId="29" xfId="14" applyNumberFormat="1" applyFont="1" applyFill="1" applyBorder="1" applyProtection="1"/>
    <xf numFmtId="2" fontId="52" fillId="3" borderId="0" xfId="14" applyNumberFormat="1" applyFont="1" applyFill="1" applyProtection="1"/>
    <xf numFmtId="164" fontId="6" fillId="0" borderId="3" xfId="0" applyNumberFormat="1" applyFont="1" applyBorder="1" applyAlignment="1">
      <alignment horizontal="center" vertical="center"/>
    </xf>
    <xf numFmtId="164" fontId="6" fillId="0" borderId="33" xfId="0" applyNumberFormat="1" applyFont="1" applyBorder="1" applyAlignment="1">
      <alignment horizontal="center" vertical="center"/>
    </xf>
    <xf numFmtId="164" fontId="6" fillId="0" borderId="5" xfId="0" applyNumberFormat="1" applyFont="1" applyBorder="1" applyAlignment="1">
      <alignment horizontal="center" vertical="center"/>
    </xf>
    <xf numFmtId="0" fontId="6" fillId="0" borderId="34" xfId="0" applyFont="1" applyBorder="1" applyAlignment="1">
      <alignment horizontal="center" vertical="center"/>
    </xf>
    <xf numFmtId="0" fontId="6" fillId="4" borderId="2" xfId="0" applyFont="1" applyFill="1" applyBorder="1" applyAlignment="1">
      <alignment horizontal="center" vertical="center"/>
    </xf>
    <xf numFmtId="0" fontId="6" fillId="4" borderId="4" xfId="0" applyFont="1" applyFill="1" applyBorder="1" applyAlignment="1">
      <alignment horizontal="center" vertical="center"/>
    </xf>
    <xf numFmtId="0" fontId="7" fillId="4" borderId="47" xfId="0" applyFont="1" applyFill="1" applyBorder="1" applyAlignment="1">
      <alignment horizontal="center" vertical="center"/>
    </xf>
    <xf numFmtId="0" fontId="7" fillId="0" borderId="24" xfId="0" applyFont="1" applyBorder="1" applyAlignment="1">
      <alignment horizontal="center" vertical="center"/>
    </xf>
    <xf numFmtId="0" fontId="7" fillId="0" borderId="49" xfId="0" applyFont="1" applyBorder="1" applyAlignment="1">
      <alignment horizontal="center" vertical="center"/>
    </xf>
    <xf numFmtId="0" fontId="15" fillId="3" borderId="0" xfId="13" applyFont="1" applyFill="1" applyBorder="1" applyAlignment="1" applyProtection="1"/>
    <xf numFmtId="0" fontId="6" fillId="3" borderId="3" xfId="5" applyFont="1" applyFill="1" applyBorder="1" applyAlignment="1" applyProtection="1">
      <alignment horizontal="center" vertical="center" wrapText="1"/>
    </xf>
    <xf numFmtId="0" fontId="51" fillId="3" borderId="0" xfId="0" applyFont="1" applyFill="1" applyBorder="1"/>
    <xf numFmtId="0" fontId="23" fillId="3" borderId="0" xfId="11" applyFont="1" applyFill="1" applyBorder="1" applyAlignment="1" applyProtection="1">
      <alignment horizontal="center" vertical="center"/>
    </xf>
    <xf numFmtId="0" fontId="38" fillId="3" borderId="0" xfId="0" applyFont="1" applyFill="1" applyBorder="1" applyAlignment="1">
      <alignment vertical="center"/>
    </xf>
    <xf numFmtId="0" fontId="38" fillId="3" borderId="10" xfId="0" applyFont="1" applyFill="1" applyBorder="1" applyAlignment="1">
      <alignment vertical="center"/>
    </xf>
    <xf numFmtId="0" fontId="38" fillId="3" borderId="12" xfId="0" applyFont="1" applyFill="1" applyBorder="1" applyAlignment="1">
      <alignment vertical="center"/>
    </xf>
    <xf numFmtId="0" fontId="0" fillId="3" borderId="13" xfId="0" applyFill="1" applyBorder="1" applyAlignment="1">
      <alignment vertical="center"/>
    </xf>
    <xf numFmtId="2" fontId="5" fillId="3" borderId="13" xfId="10" applyNumberFormat="1" applyFill="1" applyBorder="1" applyAlignment="1" applyProtection="1">
      <alignment horizontal="left" vertical="center"/>
    </xf>
    <xf numFmtId="0" fontId="0" fillId="3" borderId="0" xfId="0" applyFill="1" applyProtection="1">
      <protection locked="0"/>
    </xf>
    <xf numFmtId="0" fontId="0" fillId="3" borderId="0" xfId="0" applyFill="1" applyBorder="1" applyProtection="1">
      <protection locked="0"/>
    </xf>
    <xf numFmtId="0" fontId="0" fillId="3" borderId="0" xfId="0" applyFill="1" applyAlignment="1" applyProtection="1">
      <alignment vertical="center"/>
      <protection locked="0"/>
    </xf>
    <xf numFmtId="0" fontId="0" fillId="0" borderId="0" xfId="0" applyAlignment="1" applyProtection="1">
      <alignment vertical="center"/>
      <protection locked="0"/>
    </xf>
    <xf numFmtId="0" fontId="9" fillId="3" borderId="0" xfId="0" applyFont="1" applyFill="1" applyProtection="1">
      <protection locked="0"/>
    </xf>
    <xf numFmtId="0" fontId="9" fillId="0" borderId="0" xfId="0" applyFont="1" applyProtection="1">
      <protection locked="0"/>
    </xf>
    <xf numFmtId="0" fontId="0" fillId="3" borderId="0" xfId="0" applyFont="1" applyFill="1" applyProtection="1">
      <protection locked="0"/>
    </xf>
    <xf numFmtId="0" fontId="0" fillId="3" borderId="0" xfId="0" applyFill="1" applyBorder="1" applyAlignment="1" applyProtection="1">
      <alignment vertical="center"/>
    </xf>
    <xf numFmtId="0" fontId="0" fillId="0" borderId="0" xfId="0" applyBorder="1" applyAlignment="1" applyProtection="1">
      <alignment vertical="center"/>
    </xf>
    <xf numFmtId="0" fontId="8" fillId="3" borderId="0"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0" fillId="3" borderId="0" xfId="0" applyFont="1" applyFill="1" applyBorder="1" applyAlignment="1" applyProtection="1">
      <alignment horizontal="left" vertical="center" wrapText="1"/>
    </xf>
    <xf numFmtId="0" fontId="0" fillId="3" borderId="0" xfId="0" applyFont="1" applyFill="1" applyBorder="1" applyAlignment="1" applyProtection="1">
      <alignment vertical="center"/>
    </xf>
    <xf numFmtId="0" fontId="0" fillId="0" borderId="0" xfId="0" applyFont="1" applyBorder="1" applyAlignment="1" applyProtection="1">
      <alignment vertical="center"/>
    </xf>
    <xf numFmtId="0" fontId="0" fillId="3" borderId="0" xfId="0" applyFont="1" applyFill="1" applyBorder="1" applyAlignment="1" applyProtection="1">
      <alignment vertical="center" wrapText="1"/>
    </xf>
    <xf numFmtId="0" fontId="0" fillId="0" borderId="0" xfId="0" applyFont="1" applyBorder="1" applyAlignment="1" applyProtection="1">
      <alignment vertical="center" wrapText="1"/>
    </xf>
    <xf numFmtId="0" fontId="0" fillId="3" borderId="0" xfId="0" applyFill="1" applyBorder="1" applyAlignment="1" applyProtection="1">
      <alignment horizontal="left" vertical="center"/>
    </xf>
    <xf numFmtId="0" fontId="0" fillId="3" borderId="0" xfId="0" applyFill="1" applyBorder="1" applyProtection="1"/>
    <xf numFmtId="0" fontId="0" fillId="0" borderId="0" xfId="0" applyBorder="1" applyProtection="1"/>
    <xf numFmtId="0" fontId="0" fillId="3" borderId="0" xfId="0" applyFill="1" applyProtection="1"/>
    <xf numFmtId="0" fontId="0" fillId="3" borderId="0" xfId="0" applyFill="1" applyBorder="1" applyAlignment="1" applyProtection="1">
      <alignment horizontal="center" vertical="center"/>
    </xf>
    <xf numFmtId="0" fontId="0" fillId="3" borderId="0" xfId="0" applyFill="1" applyAlignment="1" applyProtection="1">
      <alignment horizontal="center" vertical="center"/>
    </xf>
    <xf numFmtId="0" fontId="0" fillId="0" borderId="0" xfId="0" applyProtection="1"/>
    <xf numFmtId="0" fontId="11" fillId="3" borderId="0" xfId="0" applyFont="1" applyFill="1" applyAlignment="1" applyProtection="1"/>
    <xf numFmtId="0" fontId="0" fillId="4" borderId="0" xfId="0" applyFill="1" applyBorder="1" applyAlignment="1" applyProtection="1">
      <alignment horizontal="left" vertical="center"/>
    </xf>
    <xf numFmtId="0" fontId="0" fillId="3" borderId="0" xfId="0" applyFill="1" applyAlignment="1" applyProtection="1">
      <alignment vertical="center"/>
    </xf>
    <xf numFmtId="0" fontId="0" fillId="3" borderId="0" xfId="0" applyFill="1" applyBorder="1" applyAlignment="1" applyProtection="1">
      <alignment horizontal="right" vertical="center"/>
    </xf>
    <xf numFmtId="0" fontId="2" fillId="3" borderId="0" xfId="0" applyFont="1" applyFill="1" applyProtection="1"/>
    <xf numFmtId="2" fontId="22" fillId="3" borderId="0" xfId="0" applyNumberFormat="1" applyFont="1" applyFill="1" applyBorder="1" applyAlignment="1" applyProtection="1">
      <alignment horizontal="center" vertical="center"/>
    </xf>
    <xf numFmtId="0" fontId="0" fillId="3" borderId="0" xfId="0" applyFont="1" applyFill="1" applyBorder="1" applyAlignment="1" applyProtection="1">
      <alignment horizontal="center" vertical="center"/>
    </xf>
    <xf numFmtId="0" fontId="51" fillId="6" borderId="0" xfId="0" applyFont="1" applyFill="1" applyProtection="1"/>
    <xf numFmtId="0" fontId="8" fillId="3" borderId="0" xfId="0" applyFont="1" applyFill="1" applyBorder="1" applyAlignment="1" applyProtection="1">
      <alignment vertical="center"/>
    </xf>
    <xf numFmtId="0" fontId="3" fillId="3" borderId="30" xfId="0" applyFont="1" applyFill="1" applyBorder="1" applyAlignment="1" applyProtection="1">
      <alignment vertical="center"/>
    </xf>
    <xf numFmtId="0" fontId="3" fillId="3" borderId="31" xfId="0" applyFont="1" applyFill="1" applyBorder="1" applyAlignment="1" applyProtection="1">
      <alignment horizontal="center" vertical="center"/>
    </xf>
    <xf numFmtId="0" fontId="0" fillId="3" borderId="2" xfId="0" applyFill="1" applyBorder="1" applyAlignment="1" applyProtection="1">
      <alignment vertical="center"/>
    </xf>
    <xf numFmtId="0" fontId="0" fillId="3" borderId="3" xfId="0" applyFill="1" applyBorder="1" applyAlignment="1" applyProtection="1">
      <alignment horizontal="center" vertical="center"/>
    </xf>
    <xf numFmtId="0" fontId="0" fillId="3" borderId="4" xfId="0" applyFill="1" applyBorder="1" applyAlignment="1" applyProtection="1">
      <alignment vertical="center"/>
    </xf>
    <xf numFmtId="0" fontId="0" fillId="3" borderId="5" xfId="0" applyFill="1" applyBorder="1" applyAlignment="1" applyProtection="1">
      <alignment horizontal="center" vertical="center"/>
    </xf>
    <xf numFmtId="0" fontId="0" fillId="3" borderId="39" xfId="0" applyFill="1" applyBorder="1" applyAlignment="1" applyProtection="1">
      <alignment horizontal="center" vertical="center"/>
    </xf>
    <xf numFmtId="0" fontId="0" fillId="3" borderId="6" xfId="0" applyFill="1" applyBorder="1" applyAlignment="1" applyProtection="1">
      <alignment vertical="center"/>
    </xf>
    <xf numFmtId="0" fontId="0" fillId="3" borderId="6" xfId="0" applyFill="1" applyBorder="1" applyProtection="1"/>
    <xf numFmtId="0" fontId="1" fillId="3" borderId="0" xfId="0" applyFont="1" applyFill="1" applyBorder="1" applyProtection="1"/>
    <xf numFmtId="0" fontId="1" fillId="3" borderId="0" xfId="0" applyFont="1" applyFill="1" applyBorder="1" applyAlignment="1" applyProtection="1">
      <alignment horizontal="center" vertical="center"/>
    </xf>
    <xf numFmtId="0" fontId="0" fillId="3" borderId="0" xfId="0" applyFill="1" applyBorder="1" applyAlignment="1" applyProtection="1">
      <alignment horizontal="center" wrapText="1"/>
    </xf>
    <xf numFmtId="0" fontId="5" fillId="3" borderId="6" xfId="10" applyFont="1" applyFill="1" applyBorder="1" applyProtection="1"/>
    <xf numFmtId="0" fontId="5" fillId="3" borderId="10" xfId="10" applyFill="1" applyBorder="1" applyProtection="1"/>
    <xf numFmtId="0" fontId="5" fillId="3" borderId="6" xfId="10" applyFill="1" applyBorder="1" applyProtection="1"/>
    <xf numFmtId="0" fontId="15" fillId="3" borderId="6" xfId="10" applyFont="1" applyFill="1" applyBorder="1" applyProtection="1"/>
    <xf numFmtId="0" fontId="5" fillId="3" borderId="10" xfId="10" applyFont="1" applyFill="1" applyBorder="1" applyAlignment="1" applyProtection="1">
      <alignment vertical="center"/>
    </xf>
    <xf numFmtId="0" fontId="5" fillId="3" borderId="6" xfId="10" applyFont="1" applyFill="1" applyBorder="1" applyAlignment="1" applyProtection="1">
      <alignment horizontal="right" vertical="center"/>
    </xf>
    <xf numFmtId="0" fontId="0" fillId="3" borderId="0" xfId="0" applyFill="1" applyBorder="1" applyAlignment="1" applyProtection="1">
      <alignment horizontal="right"/>
    </xf>
    <xf numFmtId="2" fontId="0" fillId="3" borderId="0" xfId="0" applyNumberFormat="1" applyFill="1" applyBorder="1" applyAlignment="1" applyProtection="1">
      <alignment horizontal="center" vertical="center"/>
    </xf>
    <xf numFmtId="2" fontId="23" fillId="3" borderId="0" xfId="0" applyNumberFormat="1" applyFont="1" applyFill="1" applyBorder="1" applyAlignment="1" applyProtection="1">
      <alignment vertical="center"/>
    </xf>
    <xf numFmtId="164" fontId="38" fillId="3" borderId="0" xfId="0" applyNumberFormat="1" applyFont="1" applyFill="1" applyBorder="1" applyAlignment="1" applyProtection="1">
      <alignment horizontal="center" vertical="center"/>
    </xf>
    <xf numFmtId="0" fontId="5" fillId="3" borderId="11" xfId="10" applyFont="1" applyFill="1" applyBorder="1" applyAlignment="1" applyProtection="1">
      <alignment horizontal="right" vertical="center"/>
    </xf>
    <xf numFmtId="0" fontId="13" fillId="3" borderId="0" xfId="0" applyFont="1" applyFill="1" applyBorder="1" applyAlignment="1" applyProtection="1">
      <alignment horizontal="right"/>
    </xf>
    <xf numFmtId="0" fontId="5" fillId="3" borderId="0" xfId="10" applyFont="1" applyFill="1" applyBorder="1" applyAlignment="1" applyProtection="1">
      <alignment horizontal="right" vertical="center"/>
    </xf>
    <xf numFmtId="0" fontId="0" fillId="3" borderId="8" xfId="0" applyFill="1" applyBorder="1" applyProtection="1"/>
    <xf numFmtId="0" fontId="0" fillId="3" borderId="8" xfId="0" applyFill="1" applyBorder="1" applyAlignment="1" applyProtection="1">
      <alignment horizontal="center" vertical="center"/>
    </xf>
    <xf numFmtId="0" fontId="0" fillId="3" borderId="44" xfId="0" applyFill="1" applyBorder="1" applyProtection="1"/>
    <xf numFmtId="0" fontId="3" fillId="3" borderId="6" xfId="0" applyFont="1" applyFill="1" applyBorder="1" applyAlignment="1" applyProtection="1">
      <alignment vertical="center"/>
    </xf>
    <xf numFmtId="0" fontId="3" fillId="3" borderId="0" xfId="0" applyFont="1" applyFill="1" applyBorder="1" applyAlignment="1" applyProtection="1">
      <alignment vertical="center"/>
    </xf>
    <xf numFmtId="0" fontId="3" fillId="3" borderId="10" xfId="0" applyFont="1" applyFill="1" applyBorder="1" applyAlignment="1" applyProtection="1">
      <alignment horizontal="center" vertical="center"/>
    </xf>
    <xf numFmtId="0" fontId="0" fillId="3" borderId="10" xfId="0" applyFill="1" applyBorder="1" applyAlignment="1" applyProtection="1">
      <alignment horizontal="center" vertical="center"/>
    </xf>
    <xf numFmtId="0" fontId="0" fillId="3" borderId="11" xfId="0" applyFill="1" applyBorder="1" applyAlignment="1" applyProtection="1">
      <alignment vertical="center"/>
    </xf>
    <xf numFmtId="0" fontId="0" fillId="3" borderId="12" xfId="0" applyFill="1" applyBorder="1" applyAlignment="1" applyProtection="1">
      <alignment vertical="center"/>
    </xf>
    <xf numFmtId="2" fontId="0" fillId="3" borderId="13" xfId="0" applyNumberFormat="1" applyFill="1" applyBorder="1" applyAlignment="1" applyProtection="1">
      <alignment horizontal="center" vertical="center"/>
    </xf>
    <xf numFmtId="0" fontId="5" fillId="3" borderId="0" xfId="14" applyFill="1" applyProtection="1"/>
    <xf numFmtId="0" fontId="3" fillId="3" borderId="7" xfId="0" applyFont="1" applyFill="1" applyBorder="1" applyProtection="1"/>
    <xf numFmtId="0" fontId="3" fillId="3" borderId="9" xfId="0" applyFont="1" applyFill="1" applyBorder="1" applyAlignment="1" applyProtection="1">
      <alignment horizontal="center" vertical="center"/>
    </xf>
    <xf numFmtId="0" fontId="3" fillId="3" borderId="45" xfId="0" applyFont="1" applyFill="1" applyBorder="1" applyProtection="1"/>
    <xf numFmtId="165" fontId="0" fillId="3" borderId="44" xfId="0" applyNumberFormat="1" applyFill="1" applyBorder="1" applyAlignment="1" applyProtection="1">
      <alignment horizontal="left"/>
    </xf>
    <xf numFmtId="0" fontId="0" fillId="3" borderId="11" xfId="0" applyFill="1" applyBorder="1" applyProtection="1"/>
    <xf numFmtId="0" fontId="0" fillId="3" borderId="12" xfId="0" applyFill="1" applyBorder="1" applyProtection="1"/>
    <xf numFmtId="164" fontId="0" fillId="3" borderId="13" xfId="0" applyNumberFormat="1" applyFill="1" applyBorder="1" applyAlignment="1" applyProtection="1">
      <alignment horizontal="center" vertical="center"/>
    </xf>
    <xf numFmtId="0" fontId="6" fillId="3" borderId="0" xfId="14" applyFont="1" applyFill="1" applyBorder="1" applyAlignment="1" applyProtection="1">
      <alignment horizontal="center" vertical="center"/>
    </xf>
    <xf numFmtId="0" fontId="7" fillId="3" borderId="6" xfId="0" applyFont="1" applyFill="1" applyBorder="1" applyProtection="1"/>
    <xf numFmtId="0" fontId="51" fillId="3" borderId="0" xfId="0" applyFont="1" applyFill="1" applyProtection="1"/>
    <xf numFmtId="0" fontId="51" fillId="3" borderId="0" xfId="0" applyFont="1" applyFill="1" applyAlignment="1" applyProtection="1">
      <alignment horizontal="center" vertical="center"/>
    </xf>
    <xf numFmtId="0" fontId="51" fillId="3" borderId="44" xfId="0" applyFont="1" applyFill="1" applyBorder="1" applyProtection="1"/>
    <xf numFmtId="0" fontId="6" fillId="3" borderId="6" xfId="0" applyFont="1" applyFill="1" applyBorder="1" applyAlignment="1" applyProtection="1">
      <alignment horizontal="left" vertical="center"/>
    </xf>
    <xf numFmtId="0" fontId="51" fillId="3" borderId="43" xfId="0" applyFont="1" applyFill="1" applyBorder="1" applyProtection="1"/>
    <xf numFmtId="0" fontId="0" fillId="3" borderId="10" xfId="0" applyFill="1" applyBorder="1" applyProtection="1"/>
    <xf numFmtId="0" fontId="0" fillId="3" borderId="13" xfId="0" applyFill="1" applyBorder="1" applyProtection="1"/>
    <xf numFmtId="0" fontId="0" fillId="0" borderId="0" xfId="0" applyAlignment="1" applyProtection="1">
      <alignment horizontal="center" vertical="center"/>
    </xf>
    <xf numFmtId="0" fontId="0" fillId="3" borderId="31" xfId="0" applyFill="1" applyBorder="1" applyAlignment="1" applyProtection="1">
      <alignment horizontal="center" vertical="center" wrapText="1"/>
    </xf>
    <xf numFmtId="0" fontId="0" fillId="3" borderId="32" xfId="0" applyFill="1" applyBorder="1" applyAlignment="1" applyProtection="1">
      <alignment horizontal="center" vertical="center" wrapText="1"/>
    </xf>
    <xf numFmtId="2" fontId="0" fillId="3" borderId="3" xfId="0" applyNumberFormat="1" applyFill="1" applyBorder="1" applyAlignment="1" applyProtection="1">
      <alignment horizontal="center" vertical="center"/>
    </xf>
    <xf numFmtId="2" fontId="0" fillId="3" borderId="33" xfId="0" applyNumberFormat="1" applyFill="1" applyBorder="1" applyAlignment="1" applyProtection="1">
      <alignment horizontal="center" vertical="center"/>
    </xf>
    <xf numFmtId="2" fontId="0" fillId="3" borderId="39" xfId="0" applyNumberFormat="1" applyFill="1" applyBorder="1" applyAlignment="1" applyProtection="1">
      <alignment horizontal="center" vertical="center"/>
    </xf>
    <xf numFmtId="2" fontId="0" fillId="3" borderId="55" xfId="0" applyNumberFormat="1" applyFill="1" applyBorder="1" applyAlignment="1" applyProtection="1">
      <alignment horizontal="center" vertical="center"/>
    </xf>
    <xf numFmtId="0" fontId="49" fillId="3" borderId="0" xfId="0" applyFont="1" applyFill="1" applyProtection="1">
      <protection locked="0"/>
    </xf>
    <xf numFmtId="0" fontId="49" fillId="3" borderId="0" xfId="0" applyFont="1" applyFill="1" applyProtection="1"/>
    <xf numFmtId="2" fontId="23" fillId="3" borderId="10" xfId="0" applyNumberFormat="1" applyFont="1" applyFill="1" applyBorder="1" applyAlignment="1" applyProtection="1">
      <alignment vertical="center"/>
    </xf>
    <xf numFmtId="0" fontId="51" fillId="3" borderId="6" xfId="0" applyFont="1" applyFill="1" applyBorder="1" applyProtection="1"/>
    <xf numFmtId="0" fontId="51" fillId="3" borderId="0" xfId="0" applyFont="1" applyFill="1" applyBorder="1" applyProtection="1"/>
    <xf numFmtId="2" fontId="0" fillId="3" borderId="10" xfId="0" applyNumberFormat="1" applyFill="1" applyBorder="1" applyAlignment="1" applyProtection="1">
      <alignment horizontal="center" vertical="center"/>
    </xf>
    <xf numFmtId="0" fontId="0" fillId="3" borderId="12" xfId="0" applyFill="1" applyBorder="1" applyAlignment="1" applyProtection="1">
      <alignment horizontal="center" vertical="center"/>
    </xf>
    <xf numFmtId="0" fontId="7" fillId="3" borderId="0" xfId="0" applyFont="1" applyFill="1" applyBorder="1" applyAlignment="1" applyProtection="1">
      <alignment horizontal="center" vertical="center"/>
    </xf>
    <xf numFmtId="0" fontId="8" fillId="4" borderId="52" xfId="0" applyFont="1" applyFill="1" applyBorder="1" applyAlignment="1" applyProtection="1">
      <alignment horizontal="center" vertical="center"/>
    </xf>
    <xf numFmtId="0" fontId="0" fillId="3" borderId="0" xfId="0" applyFill="1" applyBorder="1" applyAlignment="1" applyProtection="1">
      <alignment horizontal="center" vertical="center"/>
      <protection locked="0"/>
    </xf>
    <xf numFmtId="0" fontId="6" fillId="3" borderId="33" xfId="5" applyFont="1" applyFill="1" applyBorder="1" applyAlignment="1" applyProtection="1">
      <alignment horizontal="center" vertical="center" wrapText="1"/>
    </xf>
    <xf numFmtId="2" fontId="6" fillId="3" borderId="2" xfId="3" applyFont="1" applyFill="1" applyBorder="1" applyAlignment="1" applyProtection="1">
      <alignment horizontal="right" vertical="center"/>
    </xf>
    <xf numFmtId="0" fontId="5" fillId="3" borderId="0" xfId="8" applyFont="1" applyFill="1" applyBorder="1" applyProtection="1"/>
    <xf numFmtId="0" fontId="58" fillId="3" borderId="0" xfId="8" applyFont="1" applyFill="1" applyBorder="1" applyProtection="1"/>
    <xf numFmtId="0" fontId="8" fillId="3" borderId="6" xfId="0" applyFont="1" applyFill="1" applyBorder="1" applyAlignment="1"/>
    <xf numFmtId="0" fontId="0" fillId="3" borderId="6" xfId="0" applyFill="1" applyBorder="1" applyAlignment="1">
      <alignment horizontal="center"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0" xfId="0" applyFill="1" applyBorder="1" applyAlignment="1">
      <alignment vertical="center"/>
    </xf>
    <xf numFmtId="0" fontId="2" fillId="3" borderId="0" xfId="0" applyFont="1" applyFill="1" applyAlignment="1" applyProtection="1">
      <alignment horizontal="center" vertical="center" wrapText="1"/>
    </xf>
    <xf numFmtId="0" fontId="2" fillId="3" borderId="66" xfId="0" applyFont="1" applyFill="1" applyBorder="1" applyAlignment="1" applyProtection="1">
      <alignment horizontal="center" vertical="center" wrapText="1"/>
    </xf>
    <xf numFmtId="2" fontId="2" fillId="3" borderId="67" xfId="0" applyNumberFormat="1" applyFont="1" applyFill="1" applyBorder="1" applyAlignment="1" applyProtection="1">
      <alignment horizontal="center" vertical="center"/>
    </xf>
    <xf numFmtId="2" fontId="2" fillId="3" borderId="68" xfId="0" applyNumberFormat="1" applyFont="1" applyFill="1" applyBorder="1" applyAlignment="1" applyProtection="1">
      <alignment horizontal="center" vertical="center"/>
    </xf>
    <xf numFmtId="0" fontId="1" fillId="3" borderId="0" xfId="0" applyFont="1" applyFill="1" applyProtection="1"/>
    <xf numFmtId="0" fontId="0" fillId="3" borderId="7" xfId="0" applyFill="1" applyBorder="1"/>
    <xf numFmtId="0" fontId="0" fillId="3" borderId="9" xfId="0" applyFill="1" applyBorder="1"/>
    <xf numFmtId="0" fontId="0" fillId="3" borderId="17" xfId="0" applyFill="1" applyBorder="1" applyAlignment="1">
      <alignment vertical="center"/>
    </xf>
    <xf numFmtId="0" fontId="0" fillId="3" borderId="20" xfId="0" applyFill="1" applyBorder="1" applyAlignment="1">
      <alignment vertical="center"/>
    </xf>
    <xf numFmtId="0" fontId="3" fillId="3" borderId="33" xfId="0" applyFont="1" applyFill="1" applyBorder="1" applyAlignment="1">
      <alignment horizontal="center" vertical="center"/>
    </xf>
    <xf numFmtId="0" fontId="6" fillId="3" borderId="0" xfId="11" applyFont="1" applyFill="1" applyBorder="1" applyAlignment="1" applyProtection="1">
      <alignment horizontal="center"/>
    </xf>
    <xf numFmtId="0" fontId="0" fillId="3" borderId="33" xfId="0" applyFill="1" applyBorder="1" applyAlignment="1">
      <alignment horizontal="center" vertical="center"/>
    </xf>
    <xf numFmtId="0" fontId="6" fillId="3" borderId="0" xfId="10" applyFont="1" applyFill="1" applyBorder="1" applyAlignment="1" applyProtection="1">
      <alignment horizontal="center"/>
      <protection locked="0"/>
    </xf>
    <xf numFmtId="0" fontId="6" fillId="3" borderId="10" xfId="10" applyFont="1" applyFill="1" applyBorder="1" applyAlignment="1" applyProtection="1">
      <alignment horizontal="center"/>
      <protection locked="0"/>
    </xf>
    <xf numFmtId="0" fontId="6" fillId="3" borderId="6" xfId="11" applyFont="1" applyFill="1" applyBorder="1" applyAlignment="1" applyProtection="1">
      <alignment horizontal="center"/>
    </xf>
    <xf numFmtId="0" fontId="23" fillId="3" borderId="0" xfId="11" applyFont="1" applyFill="1" applyBorder="1" applyAlignment="1" applyProtection="1">
      <alignment horizontal="left" vertical="center"/>
    </xf>
    <xf numFmtId="0" fontId="5" fillId="3" borderId="6" xfId="21" applyFill="1" applyBorder="1" applyProtection="1"/>
    <xf numFmtId="0" fontId="6" fillId="3" borderId="0" xfId="21" applyFont="1" applyFill="1" applyBorder="1" applyProtection="1"/>
    <xf numFmtId="0" fontId="6" fillId="3" borderId="0" xfId="21" applyFont="1" applyFill="1" applyBorder="1" applyAlignment="1" applyProtection="1">
      <alignment horizontal="center"/>
    </xf>
    <xf numFmtId="0" fontId="6" fillId="3" borderId="0" xfId="21" applyFont="1" applyFill="1" applyBorder="1" applyAlignment="1" applyProtection="1"/>
    <xf numFmtId="0" fontId="6" fillId="3" borderId="0" xfId="21" applyFont="1" applyFill="1" applyBorder="1" applyAlignment="1" applyProtection="1">
      <alignment horizontal="center" vertical="center"/>
    </xf>
    <xf numFmtId="0" fontId="5" fillId="3" borderId="0" xfId="21" applyFont="1" applyFill="1" applyBorder="1" applyProtection="1"/>
    <xf numFmtId="0" fontId="5" fillId="3" borderId="0" xfId="21" applyFill="1" applyBorder="1" applyAlignment="1" applyProtection="1">
      <alignment horizontal="center" vertical="center"/>
    </xf>
    <xf numFmtId="0" fontId="7" fillId="3" borderId="0" xfId="21" applyFont="1" applyFill="1" applyBorder="1" applyProtection="1"/>
    <xf numFmtId="2" fontId="6" fillId="3" borderId="0" xfId="21" applyNumberFormat="1" applyFont="1" applyFill="1" applyBorder="1" applyAlignment="1" applyProtection="1">
      <alignment horizontal="center" vertical="center"/>
    </xf>
    <xf numFmtId="0" fontId="21" fillId="3" borderId="6" xfId="21" applyFont="1" applyFill="1" applyBorder="1" applyProtection="1"/>
    <xf numFmtId="2" fontId="1" fillId="3" borderId="0" xfId="0" applyNumberFormat="1" applyFont="1" applyFill="1" applyBorder="1" applyAlignment="1" applyProtection="1">
      <alignment horizontal="center" vertical="center"/>
    </xf>
    <xf numFmtId="0" fontId="39" fillId="3" borderId="6" xfId="21" applyFont="1" applyFill="1" applyBorder="1" applyAlignment="1" applyProtection="1">
      <alignment horizontal="right" vertical="center"/>
    </xf>
    <xf numFmtId="165" fontId="5" fillId="3" borderId="0" xfId="21" applyNumberFormat="1" applyFill="1" applyBorder="1" applyAlignment="1" applyProtection="1">
      <alignment horizontal="center" vertical="center"/>
    </xf>
    <xf numFmtId="0" fontId="13" fillId="3" borderId="0" xfId="21" applyFont="1" applyFill="1" applyBorder="1" applyAlignment="1" applyProtection="1">
      <alignment horizontal="center"/>
    </xf>
    <xf numFmtId="0" fontId="7" fillId="3" borderId="0" xfId="21" applyFont="1" applyFill="1" applyBorder="1" applyAlignment="1" applyProtection="1">
      <alignment horizontal="center" vertical="center"/>
    </xf>
    <xf numFmtId="2" fontId="7" fillId="3" borderId="0" xfId="21" applyNumberFormat="1" applyFont="1" applyFill="1" applyBorder="1" applyAlignment="1" applyProtection="1">
      <alignment horizontal="center" vertical="center"/>
    </xf>
    <xf numFmtId="0" fontId="5" fillId="3" borderId="0" xfId="21" applyFill="1" applyBorder="1" applyProtection="1"/>
    <xf numFmtId="0" fontId="15" fillId="3" borderId="6" xfId="21" applyFont="1" applyFill="1" applyBorder="1" applyAlignment="1" applyProtection="1">
      <alignment horizontal="right" wrapText="1"/>
    </xf>
    <xf numFmtId="0" fontId="5" fillId="3" borderId="0" xfId="21" applyFill="1" applyBorder="1" applyAlignment="1" applyProtection="1">
      <alignment horizontal="right" wrapText="1"/>
    </xf>
    <xf numFmtId="2" fontId="7" fillId="3" borderId="12" xfId="21" applyNumberFormat="1" applyFont="1" applyFill="1" applyBorder="1" applyAlignment="1" applyProtection="1">
      <alignment horizontal="center" vertical="center"/>
    </xf>
    <xf numFmtId="0" fontId="7" fillId="3" borderId="12" xfId="21" applyFont="1" applyFill="1" applyBorder="1" applyAlignment="1" applyProtection="1">
      <alignment horizontal="center" vertical="center"/>
    </xf>
    <xf numFmtId="2" fontId="6" fillId="3" borderId="2" xfId="3" applyFont="1" applyFill="1" applyBorder="1" applyAlignment="1" applyProtection="1">
      <alignment horizontal="right" vertical="center" wrapText="1"/>
    </xf>
    <xf numFmtId="0" fontId="3" fillId="4" borderId="17" xfId="0" applyFont="1" applyFill="1" applyBorder="1" applyAlignment="1" applyProtection="1">
      <alignment horizontal="center" vertical="center" wrapText="1"/>
    </xf>
    <xf numFmtId="0" fontId="6" fillId="3" borderId="3" xfId="15" applyFont="1" applyFill="1" applyBorder="1" applyAlignment="1" applyProtection="1">
      <alignment horizontal="center" vertical="center"/>
    </xf>
    <xf numFmtId="0" fontId="0" fillId="3" borderId="8" xfId="0" applyFill="1" applyBorder="1"/>
    <xf numFmtId="0" fontId="58" fillId="3" borderId="0" xfId="8" applyFont="1" applyFill="1" applyBorder="1" applyAlignment="1" applyProtection="1"/>
    <xf numFmtId="0" fontId="2" fillId="0" borderId="0" xfId="0" applyFont="1" applyProtection="1"/>
    <xf numFmtId="0" fontId="0" fillId="4" borderId="17" xfId="0" applyFont="1" applyFill="1" applyBorder="1" applyAlignment="1" applyProtection="1">
      <alignment horizontal="center" vertical="center"/>
    </xf>
    <xf numFmtId="0" fontId="7" fillId="3" borderId="0" xfId="0" applyFont="1" applyFill="1" applyBorder="1" applyAlignment="1" applyProtection="1">
      <alignment horizontal="right" vertical="center"/>
    </xf>
    <xf numFmtId="0" fontId="49" fillId="3" borderId="0" xfId="0" applyFont="1" applyFill="1" applyAlignment="1" applyProtection="1">
      <alignment horizontal="center"/>
    </xf>
    <xf numFmtId="0" fontId="0" fillId="0" borderId="0" xfId="0" applyFill="1" applyProtection="1">
      <protection locked="0"/>
    </xf>
    <xf numFmtId="0" fontId="24" fillId="3" borderId="0" xfId="0" applyFont="1" applyFill="1" applyProtection="1">
      <protection locked="0"/>
    </xf>
    <xf numFmtId="0" fontId="24" fillId="0" borderId="0" xfId="0" applyFont="1" applyFill="1" applyProtection="1">
      <protection locked="0"/>
    </xf>
    <xf numFmtId="0" fontId="0" fillId="0" borderId="0" xfId="0" applyFill="1" applyAlignment="1" applyProtection="1">
      <alignment vertical="center"/>
      <protection locked="0"/>
    </xf>
    <xf numFmtId="0" fontId="13" fillId="3" borderId="0" xfId="0" applyFont="1" applyFill="1" applyAlignment="1" applyProtection="1">
      <alignment horizontal="left" vertical="center"/>
      <protection locked="0"/>
    </xf>
    <xf numFmtId="0" fontId="13" fillId="3" borderId="0" xfId="0" applyFont="1" applyFill="1" applyProtection="1">
      <protection locked="0"/>
    </xf>
    <xf numFmtId="0" fontId="0" fillId="0" borderId="0" xfId="0" applyFill="1" applyBorder="1" applyProtection="1">
      <protection locked="0"/>
    </xf>
    <xf numFmtId="0" fontId="49" fillId="3" borderId="0" xfId="0" applyFont="1" applyFill="1" applyBorder="1" applyAlignment="1" applyProtection="1">
      <alignment horizontal="center" vertical="center"/>
      <protection locked="0"/>
    </xf>
    <xf numFmtId="0" fontId="3" fillId="3" borderId="0" xfId="0" applyFont="1" applyFill="1" applyAlignment="1" applyProtection="1">
      <alignment horizontal="center" vertical="center"/>
      <protection locked="0"/>
    </xf>
    <xf numFmtId="0" fontId="0" fillId="3" borderId="0" xfId="0" applyFill="1" applyAlignment="1" applyProtection="1">
      <alignment horizontal="left" vertical="center"/>
      <protection locked="0"/>
    </xf>
    <xf numFmtId="0" fontId="0" fillId="3" borderId="0" xfId="0" applyFill="1" applyAlignment="1" applyProtection="1">
      <alignment horizontal="right" vertical="center"/>
    </xf>
    <xf numFmtId="0" fontId="0" fillId="0" borderId="0" xfId="0" applyAlignment="1" applyProtection="1">
      <alignment vertical="center"/>
    </xf>
    <xf numFmtId="0" fontId="0" fillId="4" borderId="0" xfId="0" applyFill="1" applyAlignment="1" applyProtection="1">
      <alignment horizontal="center" vertical="center"/>
    </xf>
    <xf numFmtId="0" fontId="6" fillId="4" borderId="0" xfId="0" applyFont="1" applyFill="1" applyBorder="1" applyAlignment="1" applyProtection="1">
      <alignment horizontal="center" vertical="center"/>
    </xf>
    <xf numFmtId="0" fontId="0" fillId="3" borderId="0" xfId="0" applyFill="1" applyAlignment="1" applyProtection="1">
      <alignment horizontal="center" vertical="center" wrapText="1"/>
    </xf>
    <xf numFmtId="0" fontId="0" fillId="0" borderId="0" xfId="0" applyAlignment="1" applyProtection="1">
      <alignment horizontal="center" vertical="center" wrapText="1"/>
    </xf>
    <xf numFmtId="1" fontId="49" fillId="6" borderId="3" xfId="0" applyNumberFormat="1" applyFont="1" applyFill="1" applyBorder="1" applyAlignment="1" applyProtection="1">
      <alignment horizontal="center" vertical="center"/>
    </xf>
    <xf numFmtId="0" fontId="49" fillId="6" borderId="0" xfId="0" applyFont="1" applyFill="1" applyAlignment="1" applyProtection="1">
      <alignment horizontal="left" vertical="center"/>
    </xf>
    <xf numFmtId="0" fontId="49" fillId="6" borderId="0" xfId="0" applyFont="1" applyFill="1" applyProtection="1"/>
    <xf numFmtId="4" fontId="49" fillId="6" borderId="3" xfId="0" applyNumberFormat="1" applyFont="1" applyFill="1" applyBorder="1" applyAlignment="1" applyProtection="1">
      <alignment horizontal="center" vertical="center"/>
    </xf>
    <xf numFmtId="2" fontId="49" fillId="6" borderId="3" xfId="0" applyNumberFormat="1" applyFont="1" applyFill="1" applyBorder="1" applyAlignment="1" applyProtection="1">
      <alignment horizontal="center" vertical="center"/>
    </xf>
    <xf numFmtId="2" fontId="49" fillId="6" borderId="33" xfId="0" applyNumberFormat="1" applyFont="1" applyFill="1" applyBorder="1" applyAlignment="1" applyProtection="1">
      <alignment horizontal="center" vertical="center"/>
    </xf>
    <xf numFmtId="4" fontId="49" fillId="6" borderId="0" xfId="0" applyNumberFormat="1" applyFont="1" applyFill="1" applyAlignment="1" applyProtection="1">
      <alignment horizontal="left" vertical="center"/>
    </xf>
    <xf numFmtId="0" fontId="54" fillId="6" borderId="0" xfId="8" applyFont="1" applyFill="1" applyBorder="1" applyAlignment="1" applyProtection="1"/>
    <xf numFmtId="0" fontId="54" fillId="6" borderId="0" xfId="8" applyFont="1" applyFill="1" applyBorder="1" applyProtection="1"/>
    <xf numFmtId="0" fontId="13" fillId="4" borderId="0" xfId="0" applyFont="1" applyFill="1" applyAlignment="1" applyProtection="1">
      <alignment horizontal="left" vertical="center"/>
    </xf>
    <xf numFmtId="0" fontId="17" fillId="3" borderId="0" xfId="8" applyFont="1" applyFill="1" applyBorder="1" applyProtection="1"/>
    <xf numFmtId="2" fontId="13" fillId="4" borderId="0" xfId="0" applyNumberFormat="1" applyFont="1" applyFill="1" applyAlignment="1" applyProtection="1">
      <alignment horizontal="left" vertical="center"/>
    </xf>
    <xf numFmtId="3" fontId="0" fillId="3" borderId="3" xfId="0" applyNumberFormat="1" applyFill="1" applyBorder="1" applyAlignment="1" applyProtection="1">
      <alignment horizontal="center" vertical="center"/>
    </xf>
    <xf numFmtId="0" fontId="0" fillId="4" borderId="0" xfId="0" applyFill="1" applyAlignment="1" applyProtection="1">
      <alignment vertical="center"/>
    </xf>
    <xf numFmtId="0" fontId="9" fillId="4" borderId="0" xfId="0" applyFont="1" applyFill="1" applyBorder="1" applyProtection="1"/>
    <xf numFmtId="0" fontId="9" fillId="3" borderId="0" xfId="0" applyFont="1" applyFill="1" applyProtection="1"/>
    <xf numFmtId="0" fontId="9" fillId="0" borderId="0" xfId="0" applyFont="1" applyProtection="1"/>
    <xf numFmtId="0" fontId="20" fillId="4" borderId="0" xfId="9" applyFill="1" applyBorder="1" applyAlignment="1" applyProtection="1"/>
    <xf numFmtId="2" fontId="13" fillId="4" borderId="0" xfId="0" applyNumberFormat="1" applyFont="1" applyFill="1" applyBorder="1" applyProtection="1"/>
    <xf numFmtId="0" fontId="13" fillId="4" borderId="0" xfId="0" applyFont="1" applyFill="1" applyBorder="1" applyAlignment="1" applyProtection="1">
      <alignment horizontal="left" vertical="center"/>
    </xf>
    <xf numFmtId="0" fontId="6" fillId="4" borderId="0" xfId="0" applyFont="1" applyFill="1" applyBorder="1" applyAlignment="1" applyProtection="1">
      <alignment horizontal="left" vertical="center"/>
    </xf>
    <xf numFmtId="0" fontId="20" fillId="4" borderId="0" xfId="9" applyFill="1" applyBorder="1" applyAlignment="1" applyProtection="1">
      <alignment horizontal="left" vertical="center"/>
    </xf>
    <xf numFmtId="49" fontId="13" fillId="4" borderId="0" xfId="0" applyNumberFormat="1" applyFont="1" applyFill="1" applyBorder="1" applyAlignment="1" applyProtection="1">
      <alignment horizontal="left" vertical="center"/>
    </xf>
    <xf numFmtId="0" fontId="0" fillId="4" borderId="0" xfId="0" applyFill="1" applyProtection="1"/>
    <xf numFmtId="2" fontId="13" fillId="3" borderId="0" xfId="1" applyFont="1" applyFill="1" applyBorder="1" applyAlignment="1" applyProtection="1">
      <alignment horizontal="center" vertical="center"/>
    </xf>
    <xf numFmtId="0" fontId="0" fillId="3" borderId="9" xfId="0" applyFill="1" applyBorder="1" applyProtection="1"/>
    <xf numFmtId="0" fontId="5" fillId="3" borderId="0" xfId="10" applyFill="1" applyBorder="1" applyProtection="1"/>
    <xf numFmtId="0" fontId="5" fillId="3" borderId="0" xfId="10" applyFill="1" applyBorder="1" applyAlignment="1" applyProtection="1">
      <alignment horizontal="center" vertical="center"/>
    </xf>
    <xf numFmtId="0" fontId="5" fillId="3" borderId="0" xfId="10" applyFont="1" applyFill="1" applyBorder="1" applyAlignment="1" applyProtection="1">
      <alignment vertical="center"/>
    </xf>
    <xf numFmtId="0" fontId="15" fillId="3" borderId="0" xfId="10" applyFont="1" applyFill="1" applyBorder="1" applyAlignment="1" applyProtection="1">
      <alignment horizontal="left" vertical="center"/>
    </xf>
    <xf numFmtId="0" fontId="5" fillId="3" borderId="11" xfId="10" applyFill="1" applyBorder="1" applyProtection="1"/>
    <xf numFmtId="1" fontId="15" fillId="3" borderId="12" xfId="2" applyNumberFormat="1" applyFont="1" applyFill="1" applyBorder="1" applyAlignment="1" applyProtection="1">
      <alignment horizontal="center"/>
    </xf>
    <xf numFmtId="0" fontId="5" fillId="3" borderId="0" xfId="6" applyFont="1" applyFill="1" applyBorder="1" applyAlignment="1" applyProtection="1">
      <alignment horizontal="right"/>
    </xf>
    <xf numFmtId="1" fontId="5" fillId="3" borderId="0" xfId="1" applyNumberFormat="1" applyFill="1" applyBorder="1" applyAlignment="1" applyProtection="1">
      <alignment horizontal="center"/>
    </xf>
    <xf numFmtId="0" fontId="5" fillId="3" borderId="0" xfId="4" applyFill="1" applyBorder="1" applyProtection="1"/>
    <xf numFmtId="0" fontId="5" fillId="3" borderId="0" xfId="4" applyFont="1" applyFill="1" applyBorder="1" applyProtection="1"/>
    <xf numFmtId="0" fontId="9" fillId="3" borderId="0" xfId="0" applyFont="1" applyFill="1" applyBorder="1" applyProtection="1"/>
    <xf numFmtId="0" fontId="0" fillId="3" borderId="0" xfId="0" applyFont="1" applyFill="1" applyProtection="1"/>
    <xf numFmtId="2" fontId="5" fillId="3" borderId="0" xfId="0" applyNumberFormat="1" applyFont="1" applyFill="1" applyAlignment="1" applyProtection="1">
      <alignment horizontal="right"/>
    </xf>
    <xf numFmtId="1" fontId="15" fillId="3" borderId="0" xfId="2" applyNumberFormat="1" applyFont="1" applyFill="1" applyAlignment="1" applyProtection="1">
      <alignment horizontal="center"/>
    </xf>
    <xf numFmtId="0" fontId="6" fillId="3" borderId="0" xfId="15" applyFont="1" applyFill="1" applyProtection="1"/>
    <xf numFmtId="0" fontId="6" fillId="3" borderId="0" xfId="15" applyFont="1" applyFill="1" applyAlignment="1" applyProtection="1">
      <alignment horizontal="right"/>
    </xf>
    <xf numFmtId="1" fontId="6" fillId="3" borderId="0" xfId="15" applyNumberFormat="1" applyFont="1" applyFill="1" applyAlignment="1" applyProtection="1">
      <alignment horizontal="center"/>
    </xf>
    <xf numFmtId="0" fontId="6" fillId="3" borderId="0" xfId="15" applyFont="1" applyFill="1" applyBorder="1" applyAlignment="1" applyProtection="1">
      <alignment horizontal="right" vertical="center"/>
    </xf>
    <xf numFmtId="1" fontId="6" fillId="3" borderId="0" xfId="15" applyNumberFormat="1" applyFont="1" applyFill="1" applyBorder="1" applyAlignment="1" applyProtection="1">
      <alignment horizontal="center" vertical="center"/>
    </xf>
    <xf numFmtId="0" fontId="6" fillId="3" borderId="0" xfId="15" applyFont="1" applyFill="1" applyBorder="1" applyAlignment="1" applyProtection="1">
      <alignment vertical="center"/>
    </xf>
    <xf numFmtId="9" fontId="6" fillId="3" borderId="0" xfId="15" applyNumberFormat="1" applyFont="1" applyFill="1" applyBorder="1" applyAlignment="1" applyProtection="1">
      <alignment horizontal="center" vertical="center"/>
    </xf>
    <xf numFmtId="9" fontId="6" fillId="3" borderId="0" xfId="15" applyNumberFormat="1" applyFont="1" applyFill="1" applyBorder="1" applyAlignment="1" applyProtection="1">
      <alignment horizontal="left" vertical="center"/>
    </xf>
    <xf numFmtId="0" fontId="6" fillId="3" borderId="0" xfId="15" applyFont="1" applyFill="1" applyBorder="1" applyAlignment="1" applyProtection="1">
      <alignment horizontal="left" vertical="center"/>
    </xf>
    <xf numFmtId="0" fontId="6" fillId="3" borderId="0" xfId="15" applyFont="1" applyFill="1" applyBorder="1" applyAlignment="1" applyProtection="1">
      <alignment horizontal="right" vertical="center" wrapText="1"/>
    </xf>
    <xf numFmtId="2" fontId="6" fillId="3" borderId="0" xfId="3" applyNumberFormat="1" applyFont="1" applyFill="1" applyBorder="1" applyAlignment="1" applyProtection="1">
      <alignment horizontal="center" vertical="center"/>
    </xf>
    <xf numFmtId="2" fontId="6" fillId="3" borderId="0" xfId="3" applyNumberFormat="1" applyFont="1" applyFill="1" applyBorder="1" applyAlignment="1" applyProtection="1">
      <alignment vertical="center"/>
    </xf>
    <xf numFmtId="0" fontId="0" fillId="3" borderId="0" xfId="0" applyFill="1" applyAlignment="1" applyProtection="1">
      <alignment horizontal="center"/>
    </xf>
    <xf numFmtId="2" fontId="6" fillId="2" borderId="3" xfId="7" applyNumberFormat="1" applyFont="1" applyFill="1" applyBorder="1" applyAlignment="1" applyProtection="1">
      <alignment horizontal="center" vertical="center"/>
      <protection locked="0"/>
    </xf>
    <xf numFmtId="2" fontId="6" fillId="2" borderId="33" xfId="7" applyNumberFormat="1" applyFont="1" applyFill="1" applyBorder="1" applyAlignment="1" applyProtection="1">
      <alignment horizontal="center" vertical="center"/>
      <protection locked="0"/>
    </xf>
    <xf numFmtId="2" fontId="0" fillId="3" borderId="0" xfId="0" applyNumberFormat="1" applyFill="1" applyAlignment="1" applyProtection="1">
      <alignment horizontal="right" vertical="center"/>
    </xf>
    <xf numFmtId="2" fontId="0" fillId="3" borderId="0" xfId="0" applyNumberFormat="1" applyFill="1" applyAlignment="1" applyProtection="1">
      <alignment horizontal="center" vertical="center"/>
    </xf>
    <xf numFmtId="0" fontId="0" fillId="4" borderId="0" xfId="0" applyFill="1" applyBorder="1" applyAlignment="1" applyProtection="1">
      <alignment vertical="center" wrapText="1"/>
    </xf>
    <xf numFmtId="0" fontId="0" fillId="3" borderId="0" xfId="0" applyFont="1" applyFill="1" applyAlignment="1" applyProtection="1">
      <alignment vertical="center" wrapText="1"/>
    </xf>
    <xf numFmtId="0" fontId="0" fillId="4" borderId="0" xfId="0" applyFont="1" applyFill="1" applyBorder="1" applyAlignment="1" applyProtection="1">
      <alignment vertical="center" wrapText="1"/>
    </xf>
    <xf numFmtId="0" fontId="49" fillId="6" borderId="2" xfId="0" applyFont="1" applyFill="1" applyBorder="1" applyAlignment="1" applyProtection="1">
      <alignment horizontal="center" vertical="center"/>
    </xf>
    <xf numFmtId="0" fontId="49" fillId="6" borderId="3" xfId="0" applyFont="1" applyFill="1" applyBorder="1" applyAlignment="1" applyProtection="1">
      <alignment horizontal="center" vertical="center"/>
    </xf>
    <xf numFmtId="0" fontId="49" fillId="6" borderId="0" xfId="0" applyFont="1" applyFill="1" applyAlignment="1" applyProtection="1">
      <alignment horizontal="center"/>
    </xf>
    <xf numFmtId="0" fontId="0" fillId="3" borderId="2" xfId="0" applyFill="1" applyBorder="1" applyAlignment="1" applyProtection="1">
      <alignment horizontal="center" vertical="center" wrapText="1"/>
    </xf>
    <xf numFmtId="0" fontId="0" fillId="3" borderId="3" xfId="0" applyFill="1" applyBorder="1" applyAlignment="1" applyProtection="1">
      <alignment horizontal="center" vertical="center" wrapText="1"/>
    </xf>
    <xf numFmtId="0" fontId="6" fillId="3" borderId="33" xfId="0" applyFont="1" applyFill="1" applyBorder="1" applyAlignment="1" applyProtection="1">
      <alignment horizontal="center" vertical="center" wrapText="1"/>
    </xf>
    <xf numFmtId="0" fontId="0" fillId="4" borderId="6" xfId="0" applyFill="1" applyBorder="1" applyAlignment="1" applyProtection="1">
      <alignment vertical="top" wrapText="1"/>
    </xf>
    <xf numFmtId="9" fontId="0" fillId="0" borderId="16" xfId="0" applyNumberFormat="1" applyBorder="1" applyAlignment="1" applyProtection="1">
      <alignment horizontal="center" vertical="center"/>
    </xf>
    <xf numFmtId="0" fontId="47" fillId="3" borderId="0" xfId="0" applyFont="1" applyFill="1" applyAlignment="1" applyProtection="1">
      <alignment wrapText="1"/>
    </xf>
    <xf numFmtId="0" fontId="0" fillId="4" borderId="6" xfId="0" applyFill="1" applyBorder="1" applyAlignment="1" applyProtection="1">
      <alignment wrapText="1"/>
    </xf>
    <xf numFmtId="0" fontId="13" fillId="4" borderId="0" xfId="0" applyFont="1" applyFill="1" applyBorder="1" applyAlignment="1" applyProtection="1">
      <alignment horizontal="left" vertical="center" wrapText="1"/>
    </xf>
    <xf numFmtId="0" fontId="0" fillId="4" borderId="0" xfId="0" applyFill="1" applyBorder="1" applyAlignment="1" applyProtection="1">
      <alignment vertical="top" wrapText="1"/>
    </xf>
    <xf numFmtId="0" fontId="2" fillId="6" borderId="0" xfId="0" applyFont="1" applyFill="1" applyProtection="1"/>
    <xf numFmtId="0" fontId="8" fillId="3" borderId="0" xfId="0" applyFont="1" applyFill="1" applyAlignment="1" applyProtection="1">
      <alignment horizontal="center"/>
    </xf>
    <xf numFmtId="0" fontId="3" fillId="3" borderId="16" xfId="0" applyFont="1" applyFill="1" applyBorder="1" applyAlignment="1" applyProtection="1">
      <alignment horizontal="left" vertical="center" wrapText="1"/>
    </xf>
    <xf numFmtId="0" fontId="3" fillId="3" borderId="23" xfId="0" applyFont="1" applyFill="1" applyBorder="1" applyAlignment="1" applyProtection="1">
      <alignment horizontal="left" vertical="center" wrapText="1"/>
    </xf>
    <xf numFmtId="0" fontId="0" fillId="3" borderId="23" xfId="0" applyFill="1" applyBorder="1" applyAlignment="1" applyProtection="1">
      <alignment horizontal="left" vertical="center"/>
    </xf>
    <xf numFmtId="2" fontId="6" fillId="3" borderId="3" xfId="0" applyNumberFormat="1" applyFont="1" applyFill="1" applyBorder="1" applyAlignment="1" applyProtection="1">
      <alignment horizontal="center" vertical="center"/>
    </xf>
    <xf numFmtId="166" fontId="6" fillId="3" borderId="3" xfId="0" applyNumberFormat="1" applyFont="1" applyFill="1" applyBorder="1" applyAlignment="1" applyProtection="1">
      <alignment horizontal="center" vertical="center"/>
    </xf>
    <xf numFmtId="0" fontId="0" fillId="3" borderId="0" xfId="0" applyFill="1" applyAlignment="1" applyProtection="1">
      <alignment horizontal="right"/>
    </xf>
    <xf numFmtId="2" fontId="6" fillId="3" borderId="1" xfId="0" applyNumberFormat="1" applyFont="1" applyFill="1" applyBorder="1" applyAlignment="1" applyProtection="1">
      <alignment horizontal="center" vertical="center"/>
    </xf>
    <xf numFmtId="164" fontId="3" fillId="3" borderId="3" xfId="0" applyNumberFormat="1" applyFont="1" applyFill="1" applyBorder="1" applyAlignment="1" applyProtection="1">
      <alignment horizontal="center" vertical="center"/>
    </xf>
    <xf numFmtId="2" fontId="5" fillId="3" borderId="3" xfId="10" applyNumberFormat="1" applyFill="1" applyBorder="1" applyAlignment="1" applyProtection="1">
      <alignment horizontal="center" vertical="center"/>
    </xf>
    <xf numFmtId="164" fontId="15" fillId="3" borderId="3" xfId="10" applyNumberFormat="1" applyFont="1" applyFill="1" applyBorder="1" applyAlignment="1" applyProtection="1">
      <alignment horizontal="center" vertical="center"/>
    </xf>
    <xf numFmtId="0" fontId="0" fillId="3" borderId="3" xfId="0" applyFill="1" applyBorder="1" applyAlignment="1" applyProtection="1">
      <alignment horizontal="center"/>
    </xf>
    <xf numFmtId="0" fontId="6" fillId="3" borderId="0" xfId="0" applyFont="1" applyFill="1" applyAlignment="1" applyProtection="1">
      <alignment vertical="center"/>
    </xf>
    <xf numFmtId="0" fontId="0" fillId="3" borderId="0" xfId="0" applyFill="1" applyAlignment="1" applyProtection="1">
      <alignment horizontal="left"/>
    </xf>
    <xf numFmtId="0" fontId="0" fillId="0" borderId="0" xfId="0" applyAlignment="1" applyProtection="1">
      <alignment horizontal="center"/>
    </xf>
    <xf numFmtId="0" fontId="0" fillId="2" borderId="2" xfId="0" applyFill="1" applyBorder="1" applyProtection="1">
      <protection locked="0"/>
    </xf>
    <xf numFmtId="0" fontId="0" fillId="2" borderId="3" xfId="0" applyFill="1" applyBorder="1" applyAlignment="1" applyProtection="1">
      <alignment horizontal="center" vertical="center"/>
      <protection locked="0"/>
    </xf>
    <xf numFmtId="0" fontId="0" fillId="2" borderId="33" xfId="0" applyFill="1" applyBorder="1" applyAlignment="1" applyProtection="1">
      <alignment horizontal="center"/>
      <protection locked="0"/>
    </xf>
    <xf numFmtId="1" fontId="0" fillId="3" borderId="3" xfId="0" applyNumberFormat="1" applyFill="1" applyBorder="1" applyAlignment="1" applyProtection="1">
      <alignment horizontal="center" vertical="center"/>
    </xf>
    <xf numFmtId="0" fontId="54" fillId="3" borderId="0" xfId="8" applyFont="1" applyFill="1" applyBorder="1" applyAlignment="1" applyProtection="1"/>
    <xf numFmtId="2" fontId="2" fillId="3" borderId="3" xfId="0" applyNumberFormat="1" applyFont="1" applyFill="1" applyBorder="1" applyAlignment="1" applyProtection="1">
      <alignment horizontal="center" vertical="center"/>
    </xf>
    <xf numFmtId="0" fontId="54" fillId="3" borderId="0" xfId="8" applyFont="1" applyFill="1" applyBorder="1" applyProtection="1"/>
    <xf numFmtId="3" fontId="0" fillId="3" borderId="3" xfId="0" applyNumberFormat="1" applyFill="1" applyBorder="1" applyAlignment="1" applyProtection="1">
      <alignment horizontal="center" vertical="center" wrapText="1"/>
    </xf>
    <xf numFmtId="10" fontId="0" fillId="3" borderId="0" xfId="0" applyNumberFormat="1" applyFill="1" applyProtection="1"/>
    <xf numFmtId="2" fontId="0" fillId="3" borderId="0" xfId="0" applyNumberFormat="1" applyFill="1" applyBorder="1"/>
    <xf numFmtId="0" fontId="0" fillId="3" borderId="71" xfId="0" applyFill="1" applyBorder="1"/>
    <xf numFmtId="164" fontId="0" fillId="3" borderId="3" xfId="0" applyNumberFormat="1" applyFill="1" applyBorder="1" applyAlignment="1" applyProtection="1">
      <alignment horizontal="center" vertical="center"/>
    </xf>
    <xf numFmtId="164" fontId="6" fillId="3" borderId="3" xfId="0" applyNumberFormat="1" applyFont="1" applyFill="1" applyBorder="1" applyAlignment="1" applyProtection="1">
      <alignment horizontal="center" vertical="center"/>
    </xf>
    <xf numFmtId="0" fontId="0" fillId="3" borderId="11" xfId="0" applyFont="1" applyFill="1" applyBorder="1"/>
    <xf numFmtId="0" fontId="6" fillId="3" borderId="0" xfId="5" applyFont="1" applyFill="1" applyBorder="1" applyAlignment="1" applyProtection="1">
      <alignment vertical="center" wrapText="1"/>
    </xf>
    <xf numFmtId="2" fontId="0" fillId="3" borderId="53" xfId="0" applyNumberFormat="1" applyFill="1" applyBorder="1" applyAlignment="1" applyProtection="1">
      <alignment horizontal="center" vertical="center"/>
    </xf>
    <xf numFmtId="2" fontId="2" fillId="3" borderId="53" xfId="0" applyNumberFormat="1" applyFont="1" applyFill="1" applyBorder="1" applyAlignment="1" applyProtection="1">
      <alignment horizontal="center" vertical="center"/>
    </xf>
    <xf numFmtId="2" fontId="0" fillId="2" borderId="3" xfId="0" applyNumberFormat="1" applyFill="1" applyBorder="1" applyAlignment="1" applyProtection="1">
      <alignment horizontal="center" vertical="center"/>
      <protection locked="0"/>
    </xf>
    <xf numFmtId="0" fontId="13" fillId="4" borderId="0" xfId="0" applyFont="1" applyFill="1" applyBorder="1"/>
    <xf numFmtId="0" fontId="8" fillId="4" borderId="0" xfId="0" applyFont="1" applyFill="1" applyBorder="1" applyAlignment="1" applyProtection="1">
      <alignment horizontal="center" vertical="center"/>
    </xf>
    <xf numFmtId="2" fontId="23" fillId="4" borderId="0" xfId="0" applyNumberFormat="1" applyFont="1" applyFill="1" applyBorder="1" applyAlignment="1" applyProtection="1">
      <alignment horizontal="left" vertical="center"/>
    </xf>
    <xf numFmtId="0" fontId="63" fillId="4" borderId="0" xfId="9" applyFont="1" applyFill="1" applyBorder="1" applyAlignment="1" applyProtection="1">
      <alignment horizontal="left" vertical="center"/>
    </xf>
    <xf numFmtId="0" fontId="51" fillId="4" borderId="0" xfId="0" applyFont="1" applyFill="1" applyBorder="1" applyAlignment="1" applyProtection="1">
      <alignment horizontal="left" vertical="center"/>
    </xf>
    <xf numFmtId="2" fontId="7" fillId="4" borderId="0" xfId="3" applyFont="1" applyFill="1" applyBorder="1" applyAlignment="1" applyProtection="1">
      <alignment vertical="center"/>
      <protection locked="0"/>
    </xf>
    <xf numFmtId="1" fontId="7" fillId="4" borderId="0" xfId="7" applyNumberFormat="1" applyFont="1" applyFill="1" applyBorder="1" applyAlignment="1" applyProtection="1">
      <alignment vertical="center"/>
      <protection locked="0"/>
    </xf>
    <xf numFmtId="0" fontId="0" fillId="4" borderId="0" xfId="0" applyFill="1" applyBorder="1" applyAlignment="1" applyProtection="1">
      <alignment horizontal="center" vertical="center"/>
    </xf>
    <xf numFmtId="0" fontId="0" fillId="4" borderId="0" xfId="0" applyFont="1" applyFill="1" applyBorder="1" applyAlignment="1" applyProtection="1">
      <alignment horizontal="center" vertical="center"/>
    </xf>
    <xf numFmtId="0" fontId="20" fillId="4" borderId="0" xfId="9" applyFill="1" applyBorder="1" applyAlignment="1" applyProtection="1">
      <alignment vertical="center"/>
    </xf>
    <xf numFmtId="2" fontId="0" fillId="2" borderId="81" xfId="0" applyNumberFormat="1" applyFill="1" applyBorder="1" applyAlignment="1" applyProtection="1">
      <alignment horizontal="center" vertical="center"/>
      <protection locked="0"/>
    </xf>
    <xf numFmtId="2" fontId="0" fillId="2" borderId="27" xfId="0" applyNumberFormat="1" applyFill="1" applyBorder="1" applyAlignment="1" applyProtection="1">
      <alignment horizontal="center" vertical="center"/>
      <protection locked="0"/>
    </xf>
    <xf numFmtId="2" fontId="0" fillId="4" borderId="27" xfId="0" applyNumberFormat="1" applyFill="1" applyBorder="1" applyAlignment="1" applyProtection="1">
      <alignment horizontal="center" vertical="center"/>
    </xf>
    <xf numFmtId="2" fontId="0" fillId="4" borderId="24" xfId="0" applyNumberFormat="1" applyFill="1" applyBorder="1" applyAlignment="1" applyProtection="1">
      <alignment horizontal="center" vertical="center"/>
    </xf>
    <xf numFmtId="2" fontId="0" fillId="4" borderId="89" xfId="0" applyNumberFormat="1" applyFill="1" applyBorder="1" applyAlignment="1" applyProtection="1">
      <alignment horizontal="center" vertical="center"/>
    </xf>
    <xf numFmtId="2" fontId="0" fillId="4" borderId="90" xfId="0" applyNumberFormat="1" applyFill="1" applyBorder="1" applyAlignment="1" applyProtection="1">
      <alignment horizontal="center" vertical="center"/>
    </xf>
    <xf numFmtId="2" fontId="0" fillId="2" borderId="69" xfId="0" applyNumberFormat="1" applyFill="1" applyBorder="1" applyAlignment="1" applyProtection="1">
      <alignment horizontal="center" vertical="center"/>
      <protection locked="0"/>
    </xf>
    <xf numFmtId="2" fontId="0" fillId="2" borderId="39" xfId="0" applyNumberFormat="1" applyFill="1" applyBorder="1" applyAlignment="1" applyProtection="1">
      <alignment horizontal="center" vertical="center"/>
      <protection locked="0"/>
    </xf>
    <xf numFmtId="2" fontId="0" fillId="2" borderId="92" xfId="0" applyNumberFormat="1" applyFill="1" applyBorder="1" applyAlignment="1" applyProtection="1">
      <alignment horizontal="center" vertical="center"/>
      <protection locked="0"/>
    </xf>
    <xf numFmtId="2" fontId="7" fillId="4" borderId="99" xfId="3" applyFont="1" applyFill="1" applyBorder="1" applyAlignment="1" applyProtection="1">
      <alignment vertical="center"/>
    </xf>
    <xf numFmtId="2" fontId="7" fillId="4" borderId="52" xfId="3" applyFont="1" applyFill="1" applyBorder="1" applyAlignment="1" applyProtection="1">
      <alignment vertical="center"/>
    </xf>
    <xf numFmtId="0" fontId="49" fillId="6" borderId="0" xfId="0" applyFont="1" applyFill="1" applyAlignment="1" applyProtection="1">
      <alignment horizontal="left" vertical="center"/>
      <protection hidden="1"/>
    </xf>
    <xf numFmtId="0" fontId="49" fillId="6" borderId="0" xfId="0" applyFont="1" applyFill="1" applyProtection="1">
      <protection hidden="1"/>
    </xf>
    <xf numFmtId="4" fontId="49" fillId="6" borderId="0" xfId="0" applyNumberFormat="1" applyFont="1" applyFill="1" applyAlignment="1" applyProtection="1">
      <alignment horizontal="left" vertical="center"/>
      <protection hidden="1"/>
    </xf>
    <xf numFmtId="0" fontId="6" fillId="4" borderId="39" xfId="0" applyFont="1" applyFill="1" applyBorder="1" applyAlignment="1" applyProtection="1">
      <alignment horizontal="center" vertical="center" wrapText="1"/>
    </xf>
    <xf numFmtId="0" fontId="6" fillId="4" borderId="3" xfId="0" applyFont="1" applyFill="1" applyBorder="1" applyAlignment="1" applyProtection="1">
      <alignment horizontal="center" vertical="center" wrapText="1"/>
    </xf>
    <xf numFmtId="0" fontId="8" fillId="4" borderId="98" xfId="0" applyFont="1" applyFill="1" applyBorder="1" applyAlignment="1" applyProtection="1">
      <alignment vertical="center"/>
    </xf>
    <xf numFmtId="0" fontId="8" fillId="4" borderId="99" xfId="0" applyFont="1" applyFill="1" applyBorder="1" applyAlignment="1" applyProtection="1">
      <alignment vertical="center"/>
    </xf>
    <xf numFmtId="0" fontId="8" fillId="4" borderId="52" xfId="0" applyFont="1" applyFill="1" applyBorder="1" applyAlignment="1" applyProtection="1">
      <alignment vertical="center"/>
    </xf>
    <xf numFmtId="0" fontId="13" fillId="4" borderId="0" xfId="0" applyFont="1" applyFill="1" applyBorder="1" applyAlignment="1" applyProtection="1">
      <alignment vertical="center" wrapText="1"/>
    </xf>
    <xf numFmtId="3" fontId="2" fillId="3" borderId="3" xfId="0" applyNumberFormat="1" applyFont="1" applyFill="1" applyBorder="1" applyAlignment="1" applyProtection="1">
      <alignment horizontal="center" vertical="center"/>
    </xf>
    <xf numFmtId="2" fontId="0" fillId="3" borderId="0" xfId="0" applyNumberFormat="1" applyFill="1" applyAlignment="1" applyProtection="1">
      <alignment vertical="center"/>
    </xf>
    <xf numFmtId="0" fontId="2" fillId="6" borderId="0" xfId="0" applyFont="1" applyFill="1" applyAlignment="1" applyProtection="1">
      <alignment horizontal="center"/>
    </xf>
    <xf numFmtId="2" fontId="0" fillId="3" borderId="42" xfId="0" applyNumberFormat="1" applyFill="1" applyBorder="1" applyAlignment="1" applyProtection="1">
      <alignment horizontal="center"/>
    </xf>
    <xf numFmtId="2" fontId="0" fillId="3" borderId="0" xfId="0" applyNumberFormat="1" applyFill="1" applyBorder="1" applyAlignment="1" applyProtection="1">
      <alignment vertical="center"/>
    </xf>
    <xf numFmtId="0" fontId="54" fillId="3" borderId="0" xfId="8" applyFont="1" applyFill="1" applyBorder="1" applyProtection="1">
      <protection hidden="1"/>
    </xf>
    <xf numFmtId="0" fontId="54" fillId="3" borderId="0" xfId="8" applyFont="1" applyFill="1" applyBorder="1" applyAlignment="1" applyProtection="1">
      <protection hidden="1"/>
    </xf>
    <xf numFmtId="0" fontId="49" fillId="3" borderId="0" xfId="0" applyFont="1" applyFill="1" applyProtection="1">
      <protection hidden="1"/>
    </xf>
    <xf numFmtId="0" fontId="0" fillId="5" borderId="0" xfId="0" applyFill="1" applyProtection="1"/>
    <xf numFmtId="0" fontId="0" fillId="6" borderId="0" xfId="0" applyFill="1" applyProtection="1"/>
    <xf numFmtId="0" fontId="0" fillId="4" borderId="30" xfId="0" applyFill="1" applyBorder="1" applyAlignment="1" applyProtection="1">
      <alignment horizontal="right" vertical="center" wrapText="1"/>
    </xf>
    <xf numFmtId="0" fontId="6" fillId="4" borderId="32" xfId="0" applyFont="1" applyFill="1" applyBorder="1" applyAlignment="1" applyProtection="1">
      <alignment horizontal="center" vertical="center" wrapText="1"/>
    </xf>
    <xf numFmtId="0" fontId="49" fillId="6" borderId="2" xfId="0" applyFont="1" applyFill="1" applyBorder="1" applyAlignment="1" applyProtection="1">
      <alignment horizontal="right" vertical="center"/>
    </xf>
    <xf numFmtId="0" fontId="0" fillId="3" borderId="2" xfId="0" applyFill="1" applyBorder="1" applyAlignment="1" applyProtection="1">
      <alignment horizontal="right" vertical="center" wrapText="1"/>
    </xf>
    <xf numFmtId="0" fontId="0" fillId="3" borderId="22" xfId="0" applyFont="1" applyFill="1" applyBorder="1" applyAlignment="1" applyProtection="1">
      <alignment horizontal="right" vertical="center" wrapText="1"/>
    </xf>
    <xf numFmtId="0" fontId="3" fillId="4" borderId="2" xfId="0" applyFont="1" applyFill="1" applyBorder="1" applyAlignment="1" applyProtection="1">
      <alignment horizontal="left" vertical="center"/>
    </xf>
    <xf numFmtId="0" fontId="13" fillId="3" borderId="2" xfId="0" applyFont="1" applyFill="1" applyBorder="1" applyAlignment="1" applyProtection="1">
      <alignment horizontal="right" vertical="center"/>
    </xf>
    <xf numFmtId="0" fontId="3" fillId="3" borderId="4" xfId="0" applyFont="1" applyFill="1" applyBorder="1" applyAlignment="1" applyProtection="1">
      <alignment horizontal="right" vertical="center"/>
    </xf>
    <xf numFmtId="0" fontId="0" fillId="3" borderId="107" xfId="0" applyFill="1" applyBorder="1" applyProtection="1"/>
    <xf numFmtId="0" fontId="13" fillId="3" borderId="107" xfId="0" applyFont="1" applyFill="1" applyBorder="1" applyAlignment="1" applyProtection="1">
      <alignment vertical="center"/>
    </xf>
    <xf numFmtId="0" fontId="0" fillId="3" borderId="107" xfId="0" applyFill="1" applyBorder="1" applyAlignment="1" applyProtection="1">
      <alignment vertical="center"/>
    </xf>
    <xf numFmtId="2" fontId="15" fillId="3" borderId="10" xfId="2" applyFont="1" applyFill="1" applyBorder="1" applyAlignment="1" applyProtection="1">
      <alignment horizontal="center" vertical="center"/>
    </xf>
    <xf numFmtId="0" fontId="5" fillId="3" borderId="107" xfId="14" applyFill="1" applyBorder="1" applyProtection="1"/>
    <xf numFmtId="0" fontId="5" fillId="3" borderId="10" xfId="14" applyFill="1" applyBorder="1" applyAlignment="1" applyProtection="1">
      <alignment horizontal="center" vertical="center"/>
    </xf>
    <xf numFmtId="2" fontId="5" fillId="3" borderId="107" xfId="2" applyFill="1" applyBorder="1" applyAlignment="1" applyProtection="1">
      <alignment horizontal="left"/>
    </xf>
    <xf numFmtId="1" fontId="70" fillId="3" borderId="107" xfId="2" applyNumberFormat="1" applyFont="1" applyFill="1" applyBorder="1" applyAlignment="1" applyProtection="1">
      <alignment horizontal="center"/>
    </xf>
    <xf numFmtId="0" fontId="5" fillId="3" borderId="13" xfId="14" applyFill="1" applyBorder="1" applyAlignment="1" applyProtection="1">
      <alignment horizontal="center" vertical="center"/>
    </xf>
    <xf numFmtId="2" fontId="5" fillId="3" borderId="107" xfId="2" applyFill="1" applyBorder="1" applyAlignment="1" applyProtection="1">
      <alignment horizontal="right"/>
    </xf>
    <xf numFmtId="0" fontId="3" fillId="3" borderId="106" xfId="0" applyFont="1" applyFill="1" applyBorder="1" applyAlignment="1" applyProtection="1">
      <alignment horizontal="center" vertical="center"/>
    </xf>
    <xf numFmtId="165" fontId="0" fillId="3" borderId="107" xfId="0" applyNumberFormat="1" applyFill="1" applyBorder="1" applyAlignment="1" applyProtection="1">
      <alignment horizontal="center" vertical="center"/>
    </xf>
    <xf numFmtId="0" fontId="0" fillId="3" borderId="107" xfId="0" applyFill="1" applyBorder="1" applyAlignment="1" applyProtection="1">
      <alignment horizontal="center" vertical="center"/>
    </xf>
    <xf numFmtId="168" fontId="5" fillId="3" borderId="0" xfId="2" applyNumberFormat="1" applyFill="1" applyBorder="1" applyAlignment="1" applyProtection="1">
      <alignment horizontal="right"/>
    </xf>
    <xf numFmtId="2" fontId="5" fillId="3" borderId="29" xfId="2" applyFill="1" applyBorder="1" applyAlignment="1" applyProtection="1">
      <alignment horizontal="right"/>
    </xf>
    <xf numFmtId="2" fontId="5" fillId="3" borderId="109" xfId="2" applyFill="1" applyBorder="1" applyAlignment="1" applyProtection="1">
      <alignment horizontal="right"/>
    </xf>
    <xf numFmtId="0" fontId="0" fillId="0" borderId="0" xfId="0" applyBorder="1"/>
    <xf numFmtId="0" fontId="0" fillId="3" borderId="0" xfId="0" applyFill="1" applyBorder="1"/>
    <xf numFmtId="0" fontId="0" fillId="3" borderId="10" xfId="0" applyFill="1" applyBorder="1"/>
    <xf numFmtId="0" fontId="1" fillId="3" borderId="0" xfId="0" applyFont="1" applyFill="1" applyBorder="1"/>
    <xf numFmtId="0" fontId="26" fillId="3" borderId="0" xfId="0" applyFont="1" applyFill="1" applyBorder="1"/>
    <xf numFmtId="0" fontId="0" fillId="3" borderId="6" xfId="0" applyFill="1" applyBorder="1"/>
    <xf numFmtId="0" fontId="0" fillId="3" borderId="0" xfId="0" applyFill="1" applyBorder="1" applyProtection="1"/>
    <xf numFmtId="0" fontId="0" fillId="3" borderId="0" xfId="0" applyFill="1" applyBorder="1"/>
    <xf numFmtId="0" fontId="0" fillId="3" borderId="10" xfId="0" applyFill="1" applyBorder="1"/>
    <xf numFmtId="0" fontId="26" fillId="3" borderId="6" xfId="0" applyFont="1" applyFill="1" applyBorder="1"/>
    <xf numFmtId="0" fontId="26" fillId="3" borderId="11" xfId="0" applyFont="1" applyFill="1" applyBorder="1"/>
    <xf numFmtId="0" fontId="1" fillId="3" borderId="0" xfId="0" applyFont="1" applyFill="1" applyBorder="1"/>
    <xf numFmtId="0" fontId="1" fillId="3" borderId="12" xfId="0" applyFont="1" applyFill="1" applyBorder="1"/>
    <xf numFmtId="0" fontId="1" fillId="3" borderId="13" xfId="0" applyFont="1" applyFill="1" applyBorder="1"/>
    <xf numFmtId="0" fontId="1" fillId="3" borderId="10" xfId="0" applyFont="1" applyFill="1" applyBorder="1"/>
    <xf numFmtId="0" fontId="0" fillId="3" borderId="6" xfId="0" applyFill="1" applyBorder="1"/>
    <xf numFmtId="0" fontId="0" fillId="3" borderId="0" xfId="0" applyFont="1" applyFill="1" applyProtection="1">
      <protection locked="0"/>
    </xf>
    <xf numFmtId="0" fontId="0" fillId="3" borderId="0" xfId="0" applyFill="1" applyBorder="1" applyProtection="1"/>
    <xf numFmtId="0" fontId="1" fillId="3" borderId="0" xfId="0" applyFont="1" applyFill="1" applyBorder="1" applyProtection="1"/>
    <xf numFmtId="0" fontId="0" fillId="3" borderId="8" xfId="0" applyFill="1" applyBorder="1" applyProtection="1"/>
    <xf numFmtId="0" fontId="0" fillId="3" borderId="12" xfId="0" applyFill="1" applyBorder="1" applyProtection="1"/>
    <xf numFmtId="0" fontId="1" fillId="3" borderId="8" xfId="0" applyFont="1" applyFill="1" applyBorder="1" applyProtection="1"/>
    <xf numFmtId="0" fontId="0" fillId="3" borderId="7" xfId="0" applyFill="1" applyBorder="1"/>
    <xf numFmtId="0" fontId="0" fillId="3" borderId="9" xfId="0" applyFill="1" applyBorder="1"/>
    <xf numFmtId="0" fontId="6" fillId="3" borderId="0" xfId="10" applyFont="1" applyFill="1" applyBorder="1" applyAlignment="1" applyProtection="1">
      <alignment horizontal="right" vertical="center"/>
    </xf>
    <xf numFmtId="0" fontId="0" fillId="3" borderId="0" xfId="0" applyFill="1" applyBorder="1" applyProtection="1"/>
    <xf numFmtId="0" fontId="0" fillId="3" borderId="0" xfId="0" applyFill="1" applyProtection="1"/>
    <xf numFmtId="0" fontId="2" fillId="3" borderId="0" xfId="0" applyFont="1" applyFill="1" applyProtection="1"/>
    <xf numFmtId="0" fontId="0" fillId="3" borderId="6" xfId="0" applyFill="1" applyBorder="1" applyProtection="1"/>
    <xf numFmtId="0" fontId="1" fillId="3" borderId="0" xfId="0" applyFont="1" applyFill="1" applyBorder="1" applyProtection="1"/>
    <xf numFmtId="0" fontId="0" fillId="3" borderId="0" xfId="0" applyFill="1" applyBorder="1" applyAlignment="1" applyProtection="1">
      <alignment horizontal="right"/>
    </xf>
    <xf numFmtId="0" fontId="0" fillId="3" borderId="8" xfId="0" applyFill="1" applyBorder="1" applyProtection="1"/>
    <xf numFmtId="0" fontId="0" fillId="3" borderId="10" xfId="0" applyFill="1" applyBorder="1" applyProtection="1"/>
    <xf numFmtId="0" fontId="1" fillId="3" borderId="0" xfId="0" applyFont="1" applyFill="1" applyProtection="1"/>
    <xf numFmtId="0" fontId="6" fillId="3" borderId="0" xfId="10" applyFont="1" applyFill="1" applyBorder="1" applyAlignment="1" applyProtection="1">
      <alignment horizontal="left" vertical="center"/>
    </xf>
    <xf numFmtId="2" fontId="6" fillId="3" borderId="0" xfId="10" applyNumberFormat="1" applyFont="1" applyFill="1" applyBorder="1" applyAlignment="1" applyProtection="1">
      <alignment horizontal="left" vertical="center"/>
    </xf>
    <xf numFmtId="0" fontId="1" fillId="3" borderId="6" xfId="0" applyFont="1" applyFill="1" applyBorder="1" applyProtection="1"/>
    <xf numFmtId="0" fontId="1" fillId="3" borderId="10" xfId="0" applyFont="1" applyFill="1" applyBorder="1" applyProtection="1"/>
    <xf numFmtId="0" fontId="6" fillId="3" borderId="6" xfId="10" applyFont="1" applyFill="1" applyBorder="1" applyAlignment="1" applyProtection="1">
      <alignment horizontal="right" vertical="center"/>
    </xf>
    <xf numFmtId="0" fontId="6" fillId="3" borderId="10" xfId="10" applyFont="1" applyFill="1" applyBorder="1" applyAlignment="1" applyProtection="1">
      <alignment horizontal="left" vertical="center"/>
    </xf>
    <xf numFmtId="0" fontId="1" fillId="3" borderId="8" xfId="0" applyFont="1" applyFill="1" applyBorder="1" applyProtection="1"/>
    <xf numFmtId="0" fontId="0" fillId="3" borderId="9" xfId="0" applyFill="1" applyBorder="1" applyProtection="1"/>
    <xf numFmtId="0" fontId="0" fillId="3" borderId="0" xfId="0" applyFont="1" applyFill="1" applyProtection="1"/>
    <xf numFmtId="0" fontId="0" fillId="3" borderId="6" xfId="0" applyFill="1" applyBorder="1" applyAlignment="1" applyProtection="1">
      <alignment horizontal="right"/>
    </xf>
    <xf numFmtId="2" fontId="1" fillId="3" borderId="42" xfId="0" applyNumberFormat="1" applyFont="1" applyFill="1" applyBorder="1" applyAlignment="1" applyProtection="1">
      <alignment horizontal="center" vertical="center"/>
    </xf>
    <xf numFmtId="0" fontId="0" fillId="3" borderId="0" xfId="0" applyFont="1" applyFill="1" applyBorder="1" applyProtection="1"/>
    <xf numFmtId="0" fontId="1" fillId="3" borderId="11" xfId="0" applyFont="1" applyFill="1" applyBorder="1" applyProtection="1"/>
    <xf numFmtId="0" fontId="1" fillId="3" borderId="12" xfId="0" applyFont="1" applyFill="1" applyBorder="1" applyProtection="1"/>
    <xf numFmtId="0" fontId="1" fillId="3" borderId="13" xfId="0" applyFont="1" applyFill="1" applyBorder="1" applyProtection="1"/>
    <xf numFmtId="0" fontId="0" fillId="3" borderId="7" xfId="0" applyFill="1" applyBorder="1" applyProtection="1"/>
    <xf numFmtId="0" fontId="0" fillId="3" borderId="13" xfId="0" applyFont="1" applyFill="1" applyBorder="1" applyProtection="1"/>
    <xf numFmtId="3" fontId="3" fillId="3" borderId="0" xfId="0" applyNumberFormat="1" applyFont="1" applyFill="1" applyBorder="1" applyProtection="1"/>
    <xf numFmtId="2" fontId="1" fillId="3" borderId="10" xfId="0" applyNumberFormat="1" applyFont="1" applyFill="1" applyBorder="1" applyProtection="1"/>
    <xf numFmtId="0" fontId="0" fillId="3" borderId="25" xfId="0" applyFill="1" applyBorder="1" applyAlignment="1" applyProtection="1">
      <alignment horizontal="right"/>
    </xf>
    <xf numFmtId="3" fontId="3" fillId="3" borderId="38" xfId="0" applyNumberFormat="1" applyFont="1" applyFill="1" applyBorder="1" applyAlignment="1" applyProtection="1">
      <alignment horizontal="left"/>
    </xf>
    <xf numFmtId="0" fontId="0" fillId="3" borderId="8" xfId="0" applyFont="1" applyFill="1" applyBorder="1" applyProtection="1"/>
    <xf numFmtId="0" fontId="0" fillId="3" borderId="12" xfId="0" applyFont="1" applyFill="1" applyBorder="1" applyProtection="1"/>
    <xf numFmtId="0" fontId="0" fillId="3" borderId="6" xfId="0" applyFont="1" applyFill="1" applyBorder="1" applyProtection="1"/>
    <xf numFmtId="0" fontId="0" fillId="3" borderId="10" xfId="0" applyFont="1" applyFill="1" applyBorder="1" applyAlignment="1" applyProtection="1">
      <alignment horizontal="left"/>
    </xf>
    <xf numFmtId="0" fontId="71" fillId="3" borderId="6" xfId="0" applyFont="1" applyFill="1" applyBorder="1" applyProtection="1"/>
    <xf numFmtId="0" fontId="0" fillId="3" borderId="11" xfId="0" applyFont="1" applyFill="1" applyBorder="1" applyProtection="1"/>
    <xf numFmtId="0" fontId="0" fillId="3" borderId="25" xfId="0" applyFill="1" applyBorder="1" applyProtection="1"/>
    <xf numFmtId="0" fontId="3" fillId="3" borderId="26" xfId="0" applyFont="1" applyFill="1" applyBorder="1" applyProtection="1"/>
    <xf numFmtId="0" fontId="0" fillId="3" borderId="38" xfId="0" applyFill="1" applyBorder="1" applyProtection="1"/>
    <xf numFmtId="169" fontId="1" fillId="3" borderId="12" xfId="29" applyNumberFormat="1" applyFont="1" applyFill="1" applyBorder="1" applyProtection="1"/>
    <xf numFmtId="1" fontId="1" fillId="3" borderId="10" xfId="0" applyNumberFormat="1" applyFont="1" applyFill="1" applyBorder="1" applyAlignment="1" applyProtection="1">
      <alignment horizontal="left"/>
    </xf>
    <xf numFmtId="2" fontId="0" fillId="3" borderId="0" xfId="0" applyNumberFormat="1" applyFill="1" applyProtection="1"/>
    <xf numFmtId="2" fontId="6" fillId="3" borderId="10" xfId="10" applyNumberFormat="1" applyFont="1" applyFill="1" applyBorder="1" applyAlignment="1" applyProtection="1">
      <alignment horizontal="left" vertical="center"/>
    </xf>
    <xf numFmtId="2" fontId="1" fillId="3" borderId="0" xfId="0" applyNumberFormat="1" applyFont="1" applyFill="1" applyBorder="1" applyProtection="1"/>
    <xf numFmtId="0" fontId="20" fillId="4" borderId="0" xfId="9" applyFill="1" applyBorder="1" applyAlignment="1" applyProtection="1">
      <alignment horizontal="left" vertical="center"/>
    </xf>
    <xf numFmtId="3" fontId="3" fillId="3" borderId="42" xfId="0" applyNumberFormat="1" applyFont="1" applyFill="1" applyBorder="1" applyAlignment="1" applyProtection="1">
      <alignment horizontal="left"/>
    </xf>
    <xf numFmtId="169" fontId="1" fillId="3" borderId="42" xfId="29" applyNumberFormat="1" applyFont="1" applyFill="1" applyBorder="1" applyProtection="1"/>
    <xf numFmtId="0" fontId="75" fillId="4" borderId="0" xfId="9" applyFont="1" applyFill="1" applyBorder="1" applyAlignment="1" applyProtection="1">
      <alignment horizontal="left" vertical="center"/>
    </xf>
    <xf numFmtId="0" fontId="72" fillId="3" borderId="0" xfId="0" applyFont="1" applyFill="1" applyProtection="1"/>
    <xf numFmtId="0" fontId="72" fillId="0" borderId="0" xfId="0" applyFont="1" applyProtection="1"/>
    <xf numFmtId="0" fontId="6" fillId="3" borderId="3" xfId="0" applyFont="1" applyFill="1" applyBorder="1" applyAlignment="1" applyProtection="1">
      <alignment horizontal="center" vertical="center"/>
    </xf>
    <xf numFmtId="0" fontId="0" fillId="3" borderId="16" xfId="0" applyFill="1" applyBorder="1" applyAlignment="1" applyProtection="1">
      <alignment horizontal="left" vertical="center"/>
    </xf>
    <xf numFmtId="2" fontId="6" fillId="3" borderId="1" xfId="0" applyNumberFormat="1" applyFont="1" applyFill="1" applyBorder="1" applyAlignment="1" applyProtection="1">
      <alignment horizontal="center" vertical="center"/>
    </xf>
    <xf numFmtId="0" fontId="7" fillId="3" borderId="16" xfId="5" applyFont="1" applyFill="1" applyBorder="1" applyAlignment="1" applyProtection="1">
      <alignment horizontal="center" vertical="center" wrapText="1"/>
    </xf>
    <xf numFmtId="0" fontId="7" fillId="3" borderId="3" xfId="0" applyFont="1" applyFill="1" applyBorder="1" applyAlignment="1" applyProtection="1">
      <alignment horizontal="center" vertical="center" wrapText="1"/>
    </xf>
    <xf numFmtId="0" fontId="7" fillId="3" borderId="3" xfId="5" applyFont="1" applyFill="1" applyBorder="1" applyAlignment="1" applyProtection="1">
      <alignment horizontal="center" vertical="center" wrapText="1"/>
    </xf>
    <xf numFmtId="0" fontId="0" fillId="2" borderId="2" xfId="0" applyFill="1" applyBorder="1" applyAlignment="1" applyProtection="1">
      <alignment vertical="center"/>
      <protection locked="0"/>
    </xf>
    <xf numFmtId="0" fontId="0" fillId="2" borderId="2" xfId="0" applyFill="1" applyBorder="1" applyAlignment="1" applyProtection="1">
      <alignment horizontal="left" vertical="center"/>
      <protection locked="0"/>
    </xf>
    <xf numFmtId="0" fontId="20" fillId="3" borderId="0" xfId="9" applyFill="1" applyAlignment="1" applyProtection="1">
      <alignment horizontal="center" vertical="center"/>
    </xf>
    <xf numFmtId="0" fontId="3" fillId="3" borderId="0" xfId="0" applyFont="1" applyFill="1" applyAlignment="1" applyProtection="1">
      <alignment horizontal="center" vertical="center"/>
    </xf>
    <xf numFmtId="0" fontId="20" fillId="4" borderId="0" xfId="9" applyFill="1" applyBorder="1" applyAlignment="1" applyProtection="1">
      <alignment horizontal="left" vertical="center"/>
    </xf>
    <xf numFmtId="2" fontId="0" fillId="3" borderId="3" xfId="0" applyNumberFormat="1" applyFill="1" applyBorder="1" applyAlignment="1" applyProtection="1">
      <alignment horizontal="center" vertical="center"/>
    </xf>
    <xf numFmtId="0" fontId="0" fillId="3" borderId="3" xfId="0" applyFill="1" applyBorder="1" applyAlignment="1" applyProtection="1">
      <alignment horizontal="center" vertical="center"/>
    </xf>
    <xf numFmtId="2" fontId="0" fillId="3" borderId="33" xfId="0" applyNumberFormat="1" applyFill="1" applyBorder="1" applyAlignment="1" applyProtection="1">
      <alignment horizontal="center" vertical="center"/>
    </xf>
    <xf numFmtId="0" fontId="4" fillId="4" borderId="17" xfId="0" applyFont="1" applyFill="1" applyBorder="1" applyAlignment="1" applyProtection="1">
      <alignment vertical="center"/>
    </xf>
    <xf numFmtId="0" fontId="4" fillId="4" borderId="50" xfId="0" applyFont="1" applyFill="1" applyBorder="1" applyAlignment="1" applyProtection="1">
      <alignment vertical="center"/>
    </xf>
    <xf numFmtId="0" fontId="3" fillId="3" borderId="2" xfId="0" applyFont="1" applyFill="1" applyBorder="1" applyAlignment="1" applyProtection="1">
      <alignment horizontal="right" vertical="center"/>
    </xf>
    <xf numFmtId="0" fontId="0" fillId="3" borderId="0" xfId="0" applyFill="1" applyAlignment="1" applyProtection="1">
      <alignment horizontal="center"/>
    </xf>
    <xf numFmtId="0" fontId="49" fillId="3" borderId="0" xfId="0" applyFont="1" applyFill="1" applyAlignment="1" applyProtection="1">
      <alignment horizontal="center"/>
    </xf>
    <xf numFmtId="0" fontId="7" fillId="3" borderId="0" xfId="0" applyFont="1" applyFill="1" applyBorder="1" applyAlignment="1" applyProtection="1">
      <alignment horizontal="right" vertical="center"/>
    </xf>
    <xf numFmtId="0" fontId="20" fillId="3" borderId="0" xfId="9" applyFill="1" applyAlignment="1" applyProtection="1">
      <alignment horizontal="center" vertical="center"/>
    </xf>
    <xf numFmtId="0" fontId="3" fillId="3" borderId="0" xfId="0" applyFont="1" applyFill="1" applyAlignment="1" applyProtection="1">
      <alignment horizontal="center" vertical="center"/>
    </xf>
    <xf numFmtId="0" fontId="6" fillId="3" borderId="3" xfId="0" applyFont="1" applyFill="1" applyBorder="1" applyAlignment="1" applyProtection="1">
      <alignment horizontal="center" vertical="center"/>
    </xf>
    <xf numFmtId="0" fontId="7" fillId="3" borderId="3" xfId="0" applyFont="1" applyFill="1" applyBorder="1" applyAlignment="1" applyProtection="1">
      <alignment horizontal="center" vertical="center" wrapText="1"/>
    </xf>
    <xf numFmtId="0" fontId="7" fillId="3" borderId="16" xfId="5" applyFont="1" applyFill="1" applyBorder="1" applyAlignment="1" applyProtection="1">
      <alignment horizontal="center" vertical="center" wrapText="1"/>
    </xf>
    <xf numFmtId="0" fontId="6" fillId="3" borderId="2" xfId="7" applyFont="1" applyFill="1" applyBorder="1" applyAlignment="1" applyProtection="1">
      <alignment horizontal="right" vertical="center"/>
    </xf>
    <xf numFmtId="0" fontId="0" fillId="3" borderId="2" xfId="0" applyFill="1" applyBorder="1" applyAlignment="1" applyProtection="1">
      <alignment horizontal="right" vertical="center"/>
    </xf>
    <xf numFmtId="0" fontId="0" fillId="0" borderId="2" xfId="0" applyBorder="1" applyAlignment="1" applyProtection="1">
      <alignment horizontal="right" vertical="center"/>
    </xf>
    <xf numFmtId="2" fontId="0" fillId="0" borderId="16" xfId="0" applyNumberFormat="1" applyBorder="1" applyAlignment="1" applyProtection="1">
      <alignment horizontal="center" vertical="center"/>
    </xf>
    <xf numFmtId="2" fontId="0" fillId="3" borderId="3" xfId="0" applyNumberFormat="1" applyFill="1" applyBorder="1" applyAlignment="1" applyProtection="1">
      <alignment horizontal="center" vertical="center"/>
    </xf>
    <xf numFmtId="0" fontId="0" fillId="3" borderId="3" xfId="0" applyFill="1" applyBorder="1" applyAlignment="1" applyProtection="1">
      <alignment horizontal="center" vertical="center"/>
    </xf>
    <xf numFmtId="2" fontId="0" fillId="3" borderId="33" xfId="0" applyNumberFormat="1" applyFill="1" applyBorder="1" applyAlignment="1" applyProtection="1">
      <alignment horizontal="center" vertical="center"/>
    </xf>
    <xf numFmtId="0" fontId="0" fillId="3" borderId="2" xfId="0" applyFont="1" applyFill="1" applyBorder="1" applyAlignment="1" applyProtection="1">
      <alignment horizontal="right" vertical="center"/>
    </xf>
    <xf numFmtId="0" fontId="0" fillId="3" borderId="4" xfId="0" applyFont="1" applyFill="1" applyBorder="1" applyAlignment="1" applyProtection="1">
      <alignment horizontal="right" vertical="center"/>
    </xf>
    <xf numFmtId="0" fontId="0" fillId="3" borderId="22" xfId="0" applyFill="1" applyBorder="1" applyAlignment="1" applyProtection="1">
      <alignment horizontal="right" vertical="center"/>
    </xf>
    <xf numFmtId="0" fontId="7" fillId="3" borderId="3" xfId="5" applyFont="1" applyFill="1" applyBorder="1" applyAlignment="1" applyProtection="1">
      <alignment horizontal="center" vertical="center" wrapText="1"/>
    </xf>
    <xf numFmtId="0" fontId="0" fillId="3" borderId="16" xfId="0" applyFill="1" applyBorder="1" applyAlignment="1" applyProtection="1">
      <alignment horizontal="left" vertical="center"/>
    </xf>
    <xf numFmtId="0" fontId="15" fillId="4" borderId="3" xfId="13" applyFont="1" applyFill="1" applyBorder="1" applyAlignment="1" applyProtection="1"/>
    <xf numFmtId="0" fontId="15" fillId="4" borderId="2" xfId="13" applyFont="1" applyFill="1" applyBorder="1" applyAlignment="1" applyProtection="1">
      <alignment horizontal="left" vertical="center"/>
    </xf>
    <xf numFmtId="0" fontId="15" fillId="4" borderId="35" xfId="13" applyFont="1" applyFill="1" applyBorder="1" applyAlignment="1" applyProtection="1">
      <alignment horizontal="left" vertical="center"/>
    </xf>
    <xf numFmtId="0" fontId="15" fillId="4" borderId="36" xfId="13" applyFont="1" applyFill="1" applyBorder="1" applyAlignment="1" applyProtection="1"/>
    <xf numFmtId="9" fontId="15" fillId="3" borderId="3" xfId="13" applyNumberFormat="1" applyFont="1" applyFill="1" applyBorder="1" applyAlignment="1" applyProtection="1">
      <alignment horizontal="center" vertical="center"/>
    </xf>
    <xf numFmtId="9" fontId="15" fillId="3" borderId="3" xfId="13" applyNumberFormat="1" applyFont="1" applyFill="1" applyBorder="1" applyAlignment="1" applyProtection="1">
      <alignment horizontal="center" vertical="center"/>
    </xf>
    <xf numFmtId="0" fontId="0" fillId="3" borderId="2" xfId="0" applyFill="1" applyBorder="1" applyAlignment="1" applyProtection="1"/>
    <xf numFmtId="0" fontId="15" fillId="3" borderId="2" xfId="13" applyFont="1" applyFill="1" applyBorder="1" applyAlignment="1" applyProtection="1">
      <alignment vertical="center"/>
    </xf>
    <xf numFmtId="0" fontId="15" fillId="3" borderId="2" xfId="13" applyFont="1" applyFill="1" applyBorder="1" applyAlignment="1" applyProtection="1">
      <alignment horizontal="left" vertical="center"/>
    </xf>
    <xf numFmtId="0" fontId="15" fillId="3" borderId="4" xfId="13" applyFont="1" applyFill="1" applyBorder="1" applyAlignment="1" applyProtection="1">
      <alignment horizontal="left" vertical="center"/>
    </xf>
    <xf numFmtId="9" fontId="15" fillId="3" borderId="5" xfId="13" applyNumberFormat="1" applyFont="1" applyFill="1" applyBorder="1" applyAlignment="1" applyProtection="1">
      <alignment horizontal="center" vertical="center"/>
    </xf>
    <xf numFmtId="9" fontId="15" fillId="3" borderId="5" xfId="13" applyNumberFormat="1" applyFont="1" applyFill="1" applyBorder="1" applyAlignment="1" applyProtection="1">
      <alignment horizontal="center" vertical="center"/>
    </xf>
    <xf numFmtId="0" fontId="24" fillId="3" borderId="51" xfId="0" applyFont="1" applyFill="1" applyBorder="1" applyAlignment="1" applyProtection="1">
      <alignment horizontal="center" vertical="center" wrapText="1"/>
    </xf>
    <xf numFmtId="0" fontId="24" fillId="3" borderId="14" xfId="0" applyFont="1" applyFill="1" applyBorder="1" applyAlignment="1" applyProtection="1">
      <alignment horizontal="center" vertical="center" wrapText="1"/>
    </xf>
    <xf numFmtId="0" fontId="24" fillId="3" borderId="15" xfId="0" applyFont="1" applyFill="1" applyBorder="1" applyAlignment="1" applyProtection="1">
      <alignment horizontal="center" vertical="center" wrapText="1"/>
    </xf>
    <xf numFmtId="0" fontId="6" fillId="4" borderId="0" xfId="0" applyFont="1" applyFill="1" applyBorder="1" applyAlignment="1" applyProtection="1">
      <alignment horizontal="left" vertical="center" wrapText="1"/>
    </xf>
    <xf numFmtId="1" fontId="6" fillId="3" borderId="0" xfId="1" applyNumberFormat="1" applyFont="1" applyFill="1" applyBorder="1" applyAlignment="1" applyProtection="1">
      <alignment horizontal="center" vertical="center"/>
    </xf>
    <xf numFmtId="0" fontId="1" fillId="3" borderId="0" xfId="0" applyFont="1" applyFill="1" applyAlignment="1" applyProtection="1">
      <alignment horizontal="center" vertical="center"/>
    </xf>
    <xf numFmtId="0" fontId="0" fillId="3" borderId="0" xfId="0" applyFont="1" applyFill="1" applyAlignment="1" applyProtection="1">
      <alignment horizontal="center" vertical="center"/>
    </xf>
    <xf numFmtId="0" fontId="3" fillId="3" borderId="25" xfId="0" applyFont="1" applyFill="1" applyBorder="1" applyProtection="1"/>
    <xf numFmtId="9" fontId="0" fillId="3" borderId="10" xfId="0" applyNumberFormat="1" applyFont="1" applyFill="1" applyBorder="1" applyAlignment="1" applyProtection="1">
      <alignment horizontal="left"/>
    </xf>
    <xf numFmtId="0" fontId="6" fillId="3" borderId="16" xfId="18" applyFont="1" applyFill="1" applyBorder="1" applyAlignment="1" applyProtection="1">
      <alignment horizontal="center" vertical="center" wrapText="1"/>
    </xf>
    <xf numFmtId="3" fontId="3" fillId="3" borderId="0" xfId="0" applyNumberFormat="1" applyFont="1" applyFill="1" applyAlignment="1" applyProtection="1">
      <alignment horizontal="left"/>
    </xf>
    <xf numFmtId="9" fontId="0" fillId="3" borderId="0" xfId="0" applyNumberFormat="1" applyFill="1" applyAlignment="1" applyProtection="1">
      <alignment horizontal="left"/>
    </xf>
    <xf numFmtId="164" fontId="0" fillId="3" borderId="33" xfId="0" applyNumberFormat="1" applyFill="1" applyBorder="1" applyAlignment="1" applyProtection="1">
      <alignment horizontal="center" vertical="center"/>
    </xf>
    <xf numFmtId="3" fontId="0" fillId="3" borderId="33" xfId="0" applyNumberFormat="1" applyFill="1" applyBorder="1" applyAlignment="1" applyProtection="1">
      <alignment horizontal="center" vertical="center"/>
    </xf>
    <xf numFmtId="0" fontId="0" fillId="4" borderId="57" xfId="0" applyFill="1" applyBorder="1" applyAlignment="1" applyProtection="1">
      <alignment horizontal="right" vertical="center" wrapText="1"/>
    </xf>
    <xf numFmtId="0" fontId="6" fillId="4" borderId="55" xfId="0" applyFont="1" applyFill="1" applyBorder="1" applyAlignment="1" applyProtection="1">
      <alignment horizontal="center" vertical="center" wrapText="1"/>
    </xf>
    <xf numFmtId="1" fontId="0" fillId="3" borderId="33" xfId="0" applyNumberFormat="1" applyFill="1" applyBorder="1" applyAlignment="1" applyProtection="1">
      <alignment horizontal="center" vertical="center"/>
    </xf>
    <xf numFmtId="4" fontId="49" fillId="6" borderId="33" xfId="0" applyNumberFormat="1" applyFont="1" applyFill="1" applyBorder="1" applyAlignment="1" applyProtection="1">
      <alignment horizontal="center" vertical="center"/>
    </xf>
    <xf numFmtId="0" fontId="0" fillId="3" borderId="2" xfId="0" applyFill="1" applyBorder="1" applyAlignment="1" applyProtection="1">
      <alignment horizontal="right" vertical="center"/>
    </xf>
    <xf numFmtId="0" fontId="0" fillId="0" borderId="2" xfId="0" applyBorder="1" applyAlignment="1" applyProtection="1">
      <alignment horizontal="right" vertical="center"/>
    </xf>
    <xf numFmtId="2" fontId="0" fillId="0" borderId="16" xfId="0" applyNumberFormat="1" applyBorder="1" applyAlignment="1" applyProtection="1">
      <alignment horizontal="center" vertical="center"/>
    </xf>
    <xf numFmtId="2" fontId="0" fillId="3" borderId="3" xfId="0" applyNumberFormat="1" applyFill="1" applyBorder="1" applyAlignment="1" applyProtection="1">
      <alignment horizontal="center" vertical="center"/>
    </xf>
    <xf numFmtId="2" fontId="0" fillId="3" borderId="33" xfId="0" applyNumberFormat="1" applyFill="1" applyBorder="1" applyAlignment="1" applyProtection="1">
      <alignment horizontal="center" vertical="center"/>
    </xf>
    <xf numFmtId="3" fontId="6" fillId="3" borderId="3" xfId="0" applyNumberFormat="1" applyFont="1" applyFill="1" applyBorder="1" applyAlignment="1" applyProtection="1">
      <alignment horizontal="center" vertical="center"/>
    </xf>
    <xf numFmtId="3" fontId="6" fillId="3" borderId="33" xfId="0" applyNumberFormat="1" applyFont="1" applyFill="1" applyBorder="1" applyAlignment="1" applyProtection="1">
      <alignment horizontal="center" vertical="center"/>
    </xf>
    <xf numFmtId="0" fontId="0" fillId="3" borderId="22" xfId="0" applyFill="1" applyBorder="1" applyAlignment="1" applyProtection="1">
      <alignment horizontal="right" vertical="center"/>
    </xf>
    <xf numFmtId="0" fontId="6" fillId="3" borderId="16" xfId="18" applyFont="1" applyFill="1" applyBorder="1" applyAlignment="1" applyProtection="1">
      <alignment horizontal="center" vertical="center" wrapText="1"/>
    </xf>
    <xf numFmtId="0" fontId="9" fillId="4" borderId="0" xfId="0" applyFont="1" applyFill="1" applyBorder="1" applyAlignment="1" applyProtection="1">
      <alignment horizontal="left" vertical="center"/>
    </xf>
    <xf numFmtId="0" fontId="0" fillId="0" borderId="0" xfId="0"/>
    <xf numFmtId="0" fontId="2" fillId="0" borderId="0" xfId="0" applyFont="1"/>
    <xf numFmtId="9" fontId="2" fillId="0" borderId="2" xfId="0" applyNumberFormat="1" applyFont="1" applyBorder="1" applyAlignment="1" applyProtection="1">
      <alignment horizontal="right" vertical="center"/>
    </xf>
    <xf numFmtId="2" fontId="2" fillId="3" borderId="33" xfId="0" applyNumberFormat="1" applyFont="1" applyFill="1" applyBorder="1" applyAlignment="1" applyProtection="1">
      <alignment horizontal="center" vertical="center"/>
    </xf>
    <xf numFmtId="0" fontId="3" fillId="4" borderId="22" xfId="0" applyFont="1" applyFill="1" applyBorder="1" applyAlignment="1" applyProtection="1">
      <alignment horizontal="center" vertical="center" wrapText="1"/>
    </xf>
    <xf numFmtId="0" fontId="0" fillId="4" borderId="18" xfId="0" applyFill="1" applyBorder="1" applyAlignment="1" applyProtection="1">
      <alignment horizontal="center" vertical="center"/>
    </xf>
    <xf numFmtId="0" fontId="2" fillId="3" borderId="22" xfId="0" applyFont="1" applyFill="1" applyBorder="1" applyAlignment="1" applyProtection="1">
      <alignment horizontal="right" vertical="center"/>
    </xf>
    <xf numFmtId="2" fontId="6" fillId="3" borderId="33" xfId="0" applyNumberFormat="1" applyFont="1" applyFill="1" applyBorder="1" applyAlignment="1" applyProtection="1">
      <alignment horizontal="center" vertical="center"/>
    </xf>
    <xf numFmtId="164" fontId="6" fillId="3" borderId="33" xfId="0" applyNumberFormat="1" applyFont="1" applyFill="1" applyBorder="1" applyAlignment="1" applyProtection="1">
      <alignment horizontal="center" vertical="center"/>
    </xf>
    <xf numFmtId="3" fontId="0" fillId="3" borderId="33" xfId="0" applyNumberFormat="1" applyFill="1" applyBorder="1" applyAlignment="1" applyProtection="1">
      <alignment horizontal="center" vertical="center" wrapText="1"/>
    </xf>
    <xf numFmtId="0" fontId="0" fillId="0" borderId="22" xfId="0" applyBorder="1" applyAlignment="1" applyProtection="1">
      <alignment horizontal="right" vertical="center"/>
    </xf>
    <xf numFmtId="0" fontId="0" fillId="0" borderId="35" xfId="0" applyBorder="1" applyAlignment="1" applyProtection="1">
      <alignment horizontal="right" vertical="center"/>
    </xf>
    <xf numFmtId="0" fontId="0" fillId="2" borderId="4" xfId="0" applyFill="1" applyBorder="1" applyProtection="1">
      <protection locked="0"/>
    </xf>
    <xf numFmtId="0" fontId="0" fillId="4" borderId="2" xfId="0" applyFill="1" applyBorder="1" applyAlignment="1" applyProtection="1">
      <alignment horizontal="right" vertical="center" wrapText="1"/>
    </xf>
    <xf numFmtId="0" fontId="6" fillId="4" borderId="33" xfId="0" applyFont="1" applyFill="1" applyBorder="1" applyAlignment="1" applyProtection="1">
      <alignment horizontal="center" vertical="center" wrapText="1"/>
    </xf>
    <xf numFmtId="3" fontId="2" fillId="3" borderId="33" xfId="0" applyNumberFormat="1" applyFont="1" applyFill="1" applyBorder="1" applyAlignment="1" applyProtection="1">
      <alignment horizontal="center" vertical="center"/>
    </xf>
    <xf numFmtId="0" fontId="0" fillId="3" borderId="4" xfId="0" applyFill="1" applyBorder="1" applyAlignment="1" applyProtection="1">
      <alignment horizontal="right" vertical="center"/>
    </xf>
    <xf numFmtId="3" fontId="6" fillId="3" borderId="5" xfId="0" applyNumberFormat="1" applyFont="1" applyFill="1" applyBorder="1" applyAlignment="1" applyProtection="1">
      <alignment horizontal="center" vertical="center"/>
    </xf>
    <xf numFmtId="3" fontId="6" fillId="3" borderId="34" xfId="0" applyNumberFormat="1" applyFont="1" applyFill="1" applyBorder="1" applyAlignment="1" applyProtection="1">
      <alignment horizontal="center" vertical="center"/>
    </xf>
    <xf numFmtId="0" fontId="0" fillId="7" borderId="0" xfId="0" applyFill="1"/>
    <xf numFmtId="14" fontId="0" fillId="7" borderId="0" xfId="0" applyNumberFormat="1" applyFill="1"/>
    <xf numFmtId="0" fontId="0" fillId="3" borderId="61" xfId="0" applyFont="1" applyFill="1" applyBorder="1" applyAlignment="1" applyProtection="1">
      <alignment vertical="center"/>
    </xf>
    <xf numFmtId="0" fontId="0" fillId="0" borderId="0" xfId="0" applyAlignment="1">
      <alignment wrapText="1"/>
    </xf>
    <xf numFmtId="0" fontId="3" fillId="4" borderId="72" xfId="0" applyFont="1" applyFill="1" applyBorder="1" applyAlignment="1" applyProtection="1">
      <alignment horizontal="center" vertical="center" wrapText="1"/>
    </xf>
    <xf numFmtId="0" fontId="3" fillId="4" borderId="78" xfId="0" applyFont="1" applyFill="1" applyBorder="1" applyAlignment="1" applyProtection="1">
      <alignment horizontal="center" vertical="center" wrapText="1"/>
    </xf>
    <xf numFmtId="0" fontId="0" fillId="3" borderId="73" xfId="0" applyFill="1" applyBorder="1" applyAlignment="1" applyProtection="1">
      <alignment horizontal="left" vertical="center" wrapText="1"/>
    </xf>
    <xf numFmtId="0" fontId="0" fillId="3" borderId="74" xfId="0" applyFill="1" applyBorder="1" applyAlignment="1" applyProtection="1">
      <alignment horizontal="left" vertical="center" wrapText="1"/>
    </xf>
    <xf numFmtId="0" fontId="0" fillId="3" borderId="76" xfId="0" applyFill="1" applyBorder="1" applyAlignment="1" applyProtection="1">
      <alignment horizontal="left" vertical="center" wrapText="1"/>
    </xf>
    <xf numFmtId="0" fontId="0" fillId="3" borderId="77" xfId="0" applyFill="1" applyBorder="1" applyAlignment="1" applyProtection="1">
      <alignment horizontal="left" vertical="center" wrapText="1"/>
    </xf>
    <xf numFmtId="0" fontId="3" fillId="4" borderId="75" xfId="0" applyFont="1" applyFill="1" applyBorder="1" applyAlignment="1" applyProtection="1">
      <alignment horizontal="center" vertical="center" wrapText="1"/>
    </xf>
    <xf numFmtId="0" fontId="59" fillId="3" borderId="0" xfId="0" applyFont="1" applyFill="1" applyBorder="1" applyAlignment="1" applyProtection="1">
      <alignment horizontal="center" vertical="center" wrapText="1"/>
    </xf>
    <xf numFmtId="0" fontId="0" fillId="3" borderId="0" xfId="0" applyFill="1" applyBorder="1" applyAlignment="1" applyProtection="1">
      <alignment horizontal="center" vertical="center" wrapText="1"/>
    </xf>
    <xf numFmtId="0" fontId="0" fillId="3" borderId="79" xfId="0" applyFill="1" applyBorder="1" applyAlignment="1" applyProtection="1">
      <alignment horizontal="left" vertical="center" wrapText="1"/>
    </xf>
    <xf numFmtId="0" fontId="0" fillId="3" borderId="80" xfId="0" applyFill="1" applyBorder="1" applyAlignment="1" applyProtection="1">
      <alignment horizontal="left" vertical="center" wrapText="1"/>
    </xf>
    <xf numFmtId="0" fontId="0" fillId="3" borderId="0" xfId="0" applyFill="1" applyBorder="1" applyAlignment="1" applyProtection="1">
      <alignment horizontal="left" vertical="center" wrapText="1"/>
    </xf>
    <xf numFmtId="0" fontId="0" fillId="2" borderId="7" xfId="0" applyFill="1" applyBorder="1" applyAlignment="1" applyProtection="1">
      <alignment horizontal="left" vertical="center" wrapText="1"/>
      <protection locked="0"/>
    </xf>
    <xf numFmtId="0" fontId="0" fillId="2" borderId="8" xfId="0" applyFill="1" applyBorder="1" applyAlignment="1" applyProtection="1">
      <alignment horizontal="left" vertical="center" wrapText="1"/>
      <protection locked="0"/>
    </xf>
    <xf numFmtId="0" fontId="0" fillId="2" borderId="9" xfId="0"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locked="0"/>
    </xf>
    <xf numFmtId="0" fontId="0" fillId="2" borderId="0" xfId="0" applyFill="1" applyBorder="1" applyAlignment="1" applyProtection="1">
      <alignment horizontal="left" vertical="center" wrapText="1"/>
      <protection locked="0"/>
    </xf>
    <xf numFmtId="0" fontId="0" fillId="2" borderId="10" xfId="0" applyFill="1" applyBorder="1" applyAlignment="1" applyProtection="1">
      <alignment horizontal="left" vertical="center" wrapText="1"/>
      <protection locked="0"/>
    </xf>
    <xf numFmtId="0" fontId="0" fillId="2" borderId="11"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0" fillId="2" borderId="13" xfId="0" applyFill="1" applyBorder="1" applyAlignment="1" applyProtection="1">
      <alignment horizontal="left" vertical="center" wrapText="1"/>
      <protection locked="0"/>
    </xf>
    <xf numFmtId="0" fontId="3" fillId="3" borderId="2" xfId="0" applyFont="1" applyFill="1" applyBorder="1" applyAlignment="1" applyProtection="1">
      <alignment horizontal="right" vertical="center"/>
    </xf>
    <xf numFmtId="0" fontId="3" fillId="3" borderId="3" xfId="0" applyFont="1" applyFill="1" applyBorder="1" applyAlignment="1" applyProtection="1">
      <alignment horizontal="right" vertical="center"/>
    </xf>
    <xf numFmtId="0" fontId="7" fillId="3" borderId="2" xfId="0" applyFont="1" applyFill="1" applyBorder="1" applyAlignment="1" applyProtection="1">
      <alignment horizontal="right" vertical="center"/>
    </xf>
    <xf numFmtId="0" fontId="7" fillId="3" borderId="3" xfId="0" applyFont="1" applyFill="1" applyBorder="1" applyAlignment="1" applyProtection="1">
      <alignment horizontal="right" vertical="center"/>
    </xf>
    <xf numFmtId="9" fontId="0" fillId="3" borderId="3" xfId="0" applyNumberFormat="1" applyFont="1" applyFill="1" applyBorder="1" applyAlignment="1" applyProtection="1">
      <alignment horizontal="center" vertical="center"/>
    </xf>
    <xf numFmtId="9" fontId="0" fillId="3" borderId="33" xfId="0" applyNumberFormat="1" applyFont="1" applyFill="1" applyBorder="1" applyAlignment="1" applyProtection="1">
      <alignment horizontal="center" vertical="center"/>
    </xf>
    <xf numFmtId="2" fontId="0" fillId="3" borderId="3" xfId="0" applyNumberFormat="1" applyFont="1" applyFill="1" applyBorder="1" applyAlignment="1" applyProtection="1">
      <alignment horizontal="center" vertical="center"/>
    </xf>
    <xf numFmtId="2" fontId="0" fillId="3" borderId="33" xfId="0" applyNumberFormat="1" applyFont="1" applyFill="1" applyBorder="1" applyAlignment="1" applyProtection="1">
      <alignment horizontal="center" vertical="center"/>
    </xf>
    <xf numFmtId="1" fontId="6" fillId="2" borderId="16" xfId="1" applyNumberFormat="1" applyFont="1" applyFill="1" applyBorder="1" applyAlignment="1" applyProtection="1">
      <alignment horizontal="center" vertical="center"/>
      <protection locked="0"/>
    </xf>
    <xf numFmtId="1" fontId="6" fillId="2" borderId="17" xfId="1" applyNumberFormat="1" applyFont="1" applyFill="1" applyBorder="1" applyAlignment="1" applyProtection="1">
      <alignment horizontal="center" vertical="center"/>
      <protection locked="0"/>
    </xf>
    <xf numFmtId="1" fontId="6" fillId="2" borderId="18" xfId="1" applyNumberFormat="1" applyFont="1" applyFill="1" applyBorder="1" applyAlignment="1" applyProtection="1">
      <alignment horizontal="center" vertical="center"/>
      <protection locked="0"/>
    </xf>
    <xf numFmtId="0" fontId="46" fillId="3" borderId="57" xfId="9" applyFont="1" applyFill="1" applyBorder="1" applyAlignment="1" applyProtection="1">
      <alignment horizontal="center" vertical="center"/>
    </xf>
    <xf numFmtId="0" fontId="46" fillId="3" borderId="58" xfId="9" applyFont="1" applyFill="1" applyBorder="1" applyAlignment="1" applyProtection="1">
      <alignment horizontal="center" vertical="center"/>
    </xf>
    <xf numFmtId="0" fontId="46" fillId="3" borderId="47" xfId="9" applyFont="1" applyFill="1" applyBorder="1" applyAlignment="1" applyProtection="1">
      <alignment horizontal="center" vertical="center"/>
    </xf>
    <xf numFmtId="2" fontId="6" fillId="2" borderId="3" xfId="1" applyNumberFormat="1" applyFont="1" applyFill="1" applyBorder="1" applyAlignment="1" applyProtection="1">
      <alignment horizontal="center" vertical="center"/>
      <protection locked="0"/>
    </xf>
    <xf numFmtId="2" fontId="6" fillId="2" borderId="33" xfId="1" applyNumberFormat="1" applyFont="1" applyFill="1" applyBorder="1" applyAlignment="1" applyProtection="1">
      <alignment horizontal="center" vertical="center"/>
      <protection locked="0"/>
    </xf>
    <xf numFmtId="0" fontId="3" fillId="3" borderId="22" xfId="0" applyFont="1" applyFill="1" applyBorder="1" applyAlignment="1" applyProtection="1">
      <alignment horizontal="right" vertical="center"/>
    </xf>
    <xf numFmtId="0" fontId="3" fillId="3" borderId="17" xfId="0" applyFont="1" applyFill="1" applyBorder="1" applyAlignment="1" applyProtection="1">
      <alignment horizontal="right" vertical="center"/>
    </xf>
    <xf numFmtId="0" fontId="7" fillId="3" borderId="22" xfId="0" applyFont="1" applyFill="1" applyBorder="1" applyAlignment="1" applyProtection="1">
      <alignment horizontal="right" vertical="center"/>
    </xf>
    <xf numFmtId="0" fontId="7" fillId="3" borderId="17" xfId="0" applyFont="1" applyFill="1" applyBorder="1" applyAlignment="1" applyProtection="1">
      <alignment horizontal="right" vertical="center"/>
    </xf>
    <xf numFmtId="1" fontId="6" fillId="2" borderId="3" xfId="1" applyNumberFormat="1" applyFont="1" applyFill="1" applyBorder="1" applyAlignment="1" applyProtection="1">
      <alignment horizontal="center" vertical="center"/>
      <protection locked="0"/>
    </xf>
    <xf numFmtId="1" fontId="6" fillId="2" borderId="33" xfId="1" applyNumberFormat="1"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xf>
    <xf numFmtId="0" fontId="4" fillId="4" borderId="5" xfId="0" applyFont="1" applyFill="1" applyBorder="1" applyAlignment="1" applyProtection="1">
      <alignment horizontal="center" vertical="center"/>
    </xf>
    <xf numFmtId="0" fontId="4" fillId="4" borderId="34" xfId="0" applyFont="1" applyFill="1" applyBorder="1" applyAlignment="1" applyProtection="1">
      <alignment horizontal="center" vertical="center"/>
    </xf>
    <xf numFmtId="49" fontId="4" fillId="4" borderId="7" xfId="0" applyNumberFormat="1" applyFont="1" applyFill="1" applyBorder="1" applyAlignment="1" applyProtection="1">
      <alignment horizontal="center" vertical="center"/>
    </xf>
    <xf numFmtId="49" fontId="4" fillId="4" borderId="8" xfId="0" applyNumberFormat="1" applyFont="1" applyFill="1" applyBorder="1" applyAlignment="1" applyProtection="1">
      <alignment horizontal="center" vertical="center"/>
    </xf>
    <xf numFmtId="49" fontId="4" fillId="4" borderId="9" xfId="0" applyNumberFormat="1" applyFont="1" applyFill="1" applyBorder="1" applyAlignment="1" applyProtection="1">
      <alignment horizontal="center" vertical="center"/>
    </xf>
    <xf numFmtId="0" fontId="7" fillId="2" borderId="16" xfId="0" applyNumberFormat="1" applyFont="1" applyFill="1" applyBorder="1" applyAlignment="1" applyProtection="1">
      <alignment horizontal="center" vertical="center"/>
      <protection locked="0"/>
    </xf>
    <xf numFmtId="0" fontId="0" fillId="0" borderId="17" xfId="0" applyBorder="1" applyAlignment="1" applyProtection="1">
      <alignment vertical="center"/>
      <protection locked="0"/>
    </xf>
    <xf numFmtId="0" fontId="0" fillId="0" borderId="18" xfId="0" applyBorder="1" applyAlignment="1" applyProtection="1">
      <alignment vertical="center"/>
      <protection locked="0"/>
    </xf>
    <xf numFmtId="0" fontId="6" fillId="2" borderId="16" xfId="0" applyNumberFormat="1" applyFont="1" applyFill="1" applyBorder="1" applyAlignment="1" applyProtection="1">
      <alignment horizontal="center" vertical="center"/>
      <protection locked="0"/>
    </xf>
    <xf numFmtId="0" fontId="6" fillId="2" borderId="17" xfId="0" applyNumberFormat="1" applyFont="1" applyFill="1" applyBorder="1" applyAlignment="1" applyProtection="1">
      <alignment horizontal="center" vertical="center"/>
      <protection locked="0"/>
    </xf>
    <xf numFmtId="0" fontId="6" fillId="2" borderId="18" xfId="0" applyNumberFormat="1" applyFont="1" applyFill="1" applyBorder="1" applyAlignment="1" applyProtection="1">
      <alignment horizontal="center" vertical="center"/>
      <protection locked="0"/>
    </xf>
    <xf numFmtId="167" fontId="6" fillId="2" borderId="16" xfId="0" applyNumberFormat="1" applyFont="1" applyFill="1" applyBorder="1" applyAlignment="1" applyProtection="1">
      <alignment horizontal="center" vertical="center"/>
      <protection locked="0"/>
    </xf>
    <xf numFmtId="167" fontId="6" fillId="2" borderId="17" xfId="0" applyNumberFormat="1" applyFont="1" applyFill="1" applyBorder="1" applyAlignment="1" applyProtection="1">
      <alignment horizontal="center" vertical="center"/>
      <protection locked="0"/>
    </xf>
    <xf numFmtId="167" fontId="6" fillId="2" borderId="18" xfId="0" applyNumberFormat="1" applyFont="1" applyFill="1" applyBorder="1" applyAlignment="1" applyProtection="1">
      <alignment horizontal="center" vertical="center"/>
      <protection locked="0"/>
    </xf>
    <xf numFmtId="2" fontId="6" fillId="2" borderId="16" xfId="1" applyNumberFormat="1" applyFont="1" applyFill="1" applyBorder="1" applyAlignment="1" applyProtection="1">
      <alignment horizontal="center" vertical="center"/>
      <protection locked="0"/>
    </xf>
    <xf numFmtId="2" fontId="6" fillId="2" borderId="17" xfId="1" applyNumberFormat="1" applyFont="1" applyFill="1" applyBorder="1" applyAlignment="1" applyProtection="1">
      <alignment horizontal="center" vertical="center"/>
      <protection locked="0"/>
    </xf>
    <xf numFmtId="2" fontId="6" fillId="2" borderId="18" xfId="1" applyNumberFormat="1"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xf>
    <xf numFmtId="0" fontId="4" fillId="4" borderId="3" xfId="0" applyFont="1" applyFill="1" applyBorder="1" applyAlignment="1" applyProtection="1">
      <alignment horizontal="center" vertical="center"/>
    </xf>
    <xf numFmtId="0" fontId="4" fillId="4" borderId="33" xfId="0" applyFont="1" applyFill="1" applyBorder="1" applyAlignment="1" applyProtection="1">
      <alignment horizontal="center" vertical="center"/>
    </xf>
    <xf numFmtId="0" fontId="50" fillId="3" borderId="0" xfId="0" applyFont="1" applyFill="1" applyBorder="1" applyAlignment="1" applyProtection="1">
      <alignment horizontal="center" vertical="center"/>
    </xf>
    <xf numFmtId="49" fontId="20" fillId="2" borderId="16" xfId="9" applyNumberFormat="1" applyFill="1" applyBorder="1" applyAlignment="1" applyProtection="1">
      <alignment horizontal="center" vertical="center"/>
      <protection locked="0"/>
    </xf>
    <xf numFmtId="49" fontId="6" fillId="2" borderId="17" xfId="0" applyNumberFormat="1" applyFont="1" applyFill="1" applyBorder="1" applyAlignment="1" applyProtection="1">
      <alignment horizontal="center" vertical="center"/>
      <protection locked="0"/>
    </xf>
    <xf numFmtId="49" fontId="6" fillId="2" borderId="18" xfId="0" applyNumberFormat="1" applyFont="1" applyFill="1" applyBorder="1" applyAlignment="1" applyProtection="1">
      <alignment horizontal="center" vertical="center"/>
      <protection locked="0"/>
    </xf>
    <xf numFmtId="2" fontId="0" fillId="2" borderId="16" xfId="0" applyNumberFormat="1" applyFont="1" applyFill="1" applyBorder="1" applyAlignment="1" applyProtection="1">
      <alignment horizontal="center" vertical="center"/>
      <protection locked="0"/>
    </xf>
    <xf numFmtId="2" fontId="0" fillId="2" borderId="17" xfId="0" applyNumberFormat="1" applyFont="1" applyFill="1" applyBorder="1" applyAlignment="1" applyProtection="1">
      <alignment horizontal="center" vertical="center"/>
      <protection locked="0"/>
    </xf>
    <xf numFmtId="2" fontId="0" fillId="2" borderId="18" xfId="0" applyNumberFormat="1" applyFont="1" applyFill="1" applyBorder="1" applyAlignment="1" applyProtection="1">
      <alignment horizontal="center" vertical="center"/>
      <protection locked="0"/>
    </xf>
    <xf numFmtId="0" fontId="6" fillId="2" borderId="16" xfId="0" applyFont="1" applyFill="1" applyBorder="1" applyAlignment="1" applyProtection="1">
      <alignment horizontal="center" vertical="center"/>
      <protection locked="0"/>
    </xf>
    <xf numFmtId="0" fontId="6" fillId="2" borderId="17" xfId="0" applyFont="1" applyFill="1" applyBorder="1" applyAlignment="1" applyProtection="1">
      <alignment horizontal="center" vertical="center"/>
      <protection locked="0"/>
    </xf>
    <xf numFmtId="0" fontId="6" fillId="2" borderId="18" xfId="0" applyFont="1" applyFill="1" applyBorder="1" applyAlignment="1" applyProtection="1">
      <alignment horizontal="center" vertical="center"/>
      <protection locked="0"/>
    </xf>
    <xf numFmtId="2" fontId="0" fillId="2" borderId="16" xfId="0" applyNumberFormat="1" applyFill="1" applyBorder="1" applyAlignment="1" applyProtection="1">
      <alignment horizontal="center" vertical="center"/>
      <protection locked="0"/>
    </xf>
    <xf numFmtId="2" fontId="0" fillId="2" borderId="17" xfId="0" applyNumberFormat="1" applyFill="1" applyBorder="1" applyAlignment="1" applyProtection="1">
      <alignment horizontal="center" vertical="center"/>
      <protection locked="0"/>
    </xf>
    <xf numFmtId="2" fontId="0" fillId="2" borderId="18" xfId="0" applyNumberFormat="1" applyFill="1" applyBorder="1" applyAlignment="1" applyProtection="1">
      <alignment horizontal="center" vertical="center"/>
      <protection locked="0"/>
    </xf>
    <xf numFmtId="170" fontId="6" fillId="2" borderId="16" xfId="9" applyNumberFormat="1" applyFont="1" applyFill="1" applyBorder="1" applyAlignment="1" applyProtection="1">
      <alignment horizontal="center" vertical="center"/>
      <protection locked="0"/>
    </xf>
    <xf numFmtId="170" fontId="6" fillId="2" borderId="17" xfId="0" applyNumberFormat="1" applyFont="1" applyFill="1" applyBorder="1" applyAlignment="1" applyProtection="1">
      <alignment horizontal="center" vertical="center"/>
      <protection locked="0"/>
    </xf>
    <xf numFmtId="170" fontId="6" fillId="2" borderId="18" xfId="0" applyNumberFormat="1" applyFont="1" applyFill="1" applyBorder="1" applyAlignment="1" applyProtection="1">
      <alignment horizontal="center" vertical="center"/>
      <protection locked="0"/>
    </xf>
    <xf numFmtId="0" fontId="13" fillId="4" borderId="44" xfId="9" applyFont="1" applyFill="1" applyBorder="1" applyAlignment="1" applyProtection="1">
      <alignment horizontal="left" vertical="center" wrapText="1"/>
    </xf>
    <xf numFmtId="0" fontId="20" fillId="3" borderId="0" xfId="9" applyFill="1" applyAlignment="1" applyProtection="1">
      <alignment horizontal="center" vertical="center"/>
    </xf>
    <xf numFmtId="0" fontId="3" fillId="3" borderId="0" xfId="0" applyFont="1" applyFill="1" applyAlignment="1" applyProtection="1">
      <alignment horizontal="center" vertical="center"/>
    </xf>
    <xf numFmtId="2" fontId="6" fillId="2" borderId="82" xfId="0" applyNumberFormat="1" applyFont="1" applyFill="1" applyBorder="1" applyAlignment="1" applyProtection="1">
      <alignment horizontal="center" vertical="center"/>
      <protection locked="0"/>
    </xf>
    <xf numFmtId="0" fontId="6" fillId="3" borderId="96" xfId="5" applyFont="1" applyFill="1" applyBorder="1" applyAlignment="1" applyProtection="1">
      <alignment horizontal="right" vertical="center"/>
    </xf>
    <xf numFmtId="0" fontId="6" fillId="3" borderId="37" xfId="5" applyFont="1" applyFill="1" applyBorder="1" applyAlignment="1" applyProtection="1">
      <alignment horizontal="right" vertical="center"/>
    </xf>
    <xf numFmtId="2" fontId="6" fillId="3" borderId="96" xfId="3" applyNumberFormat="1" applyFont="1" applyFill="1" applyBorder="1" applyAlignment="1" applyProtection="1">
      <alignment horizontal="center" vertical="center"/>
    </xf>
    <xf numFmtId="2" fontId="6" fillId="3" borderId="37" xfId="3" applyNumberFormat="1" applyFont="1" applyFill="1" applyBorder="1" applyAlignment="1" applyProtection="1">
      <alignment horizontal="center" vertical="center"/>
    </xf>
    <xf numFmtId="2" fontId="6" fillId="3" borderId="97" xfId="3" applyNumberFormat="1" applyFont="1" applyFill="1" applyBorder="1" applyAlignment="1" applyProtection="1">
      <alignment horizontal="center" vertical="center"/>
    </xf>
    <xf numFmtId="0" fontId="7" fillId="3" borderId="28" xfId="7" applyFont="1" applyFill="1" applyBorder="1" applyAlignment="1" applyProtection="1">
      <alignment horizontal="right" vertical="center"/>
    </xf>
    <xf numFmtId="0" fontId="7" fillId="3" borderId="17" xfId="7" applyFont="1" applyFill="1" applyBorder="1" applyAlignment="1" applyProtection="1">
      <alignment horizontal="right" vertical="center"/>
    </xf>
    <xf numFmtId="1" fontId="7" fillId="3" borderId="28" xfId="7" applyNumberFormat="1" applyFont="1" applyFill="1" applyBorder="1" applyAlignment="1" applyProtection="1">
      <alignment horizontal="center" vertical="center"/>
    </xf>
    <xf numFmtId="1" fontId="7" fillId="3" borderId="17" xfId="7" applyNumberFormat="1" applyFont="1" applyFill="1" applyBorder="1" applyAlignment="1" applyProtection="1">
      <alignment horizontal="center" vertical="center"/>
    </xf>
    <xf numFmtId="1" fontId="7" fillId="3" borderId="50" xfId="7" applyNumberFormat="1" applyFont="1" applyFill="1" applyBorder="1" applyAlignment="1" applyProtection="1">
      <alignment horizontal="center" vertical="center"/>
    </xf>
    <xf numFmtId="0" fontId="3" fillId="4" borderId="98" xfId="0" applyFont="1" applyFill="1" applyBorder="1" applyAlignment="1" applyProtection="1">
      <alignment horizontal="center" vertical="center" wrapText="1"/>
    </xf>
    <xf numFmtId="0" fontId="3" fillId="4" borderId="99" xfId="0" applyFont="1" applyFill="1" applyBorder="1" applyAlignment="1" applyProtection="1">
      <alignment horizontal="center" vertical="center" wrapText="1"/>
    </xf>
    <xf numFmtId="0" fontId="0" fillId="3" borderId="27" xfId="0" applyFont="1" applyFill="1" applyBorder="1" applyAlignment="1" applyProtection="1">
      <alignment horizontal="right" vertical="center"/>
    </xf>
    <xf numFmtId="0" fontId="0" fillId="3" borderId="16" xfId="0" applyFont="1" applyFill="1" applyBorder="1" applyAlignment="1" applyProtection="1">
      <alignment horizontal="right" vertical="center"/>
    </xf>
    <xf numFmtId="0" fontId="0" fillId="3" borderId="27" xfId="0" applyFill="1" applyBorder="1" applyAlignment="1" applyProtection="1">
      <alignment horizontal="right" vertical="center"/>
    </xf>
    <xf numFmtId="2" fontId="23" fillId="3" borderId="87" xfId="0" applyNumberFormat="1" applyFont="1" applyFill="1" applyBorder="1" applyAlignment="1" applyProtection="1">
      <alignment horizontal="center" vertical="center"/>
    </xf>
    <xf numFmtId="3" fontId="23" fillId="3" borderId="82" xfId="0" applyNumberFormat="1" applyFont="1" applyFill="1" applyBorder="1" applyAlignment="1" applyProtection="1">
      <alignment horizontal="center" vertical="center"/>
    </xf>
    <xf numFmtId="0" fontId="0" fillId="3" borderId="27" xfId="0" applyFill="1" applyBorder="1" applyAlignment="1" applyProtection="1">
      <alignment horizontal="right" vertical="center" wrapText="1"/>
    </xf>
    <xf numFmtId="0" fontId="0" fillId="3" borderId="16" xfId="0" applyFont="1" applyFill="1" applyBorder="1" applyAlignment="1" applyProtection="1">
      <alignment horizontal="right" vertical="center" wrapText="1"/>
    </xf>
    <xf numFmtId="3" fontId="23" fillId="3" borderId="103" xfId="0" applyNumberFormat="1" applyFont="1" applyFill="1" applyBorder="1" applyAlignment="1" applyProtection="1">
      <alignment horizontal="center" vertical="center"/>
    </xf>
    <xf numFmtId="3" fontId="23" fillId="3" borderId="104" xfId="0" applyNumberFormat="1" applyFont="1" applyFill="1" applyBorder="1" applyAlignment="1" applyProtection="1">
      <alignment horizontal="center" vertical="center"/>
    </xf>
    <xf numFmtId="3" fontId="23" fillId="3" borderId="105" xfId="0" applyNumberFormat="1" applyFont="1" applyFill="1" applyBorder="1" applyAlignment="1" applyProtection="1">
      <alignment horizontal="center" vertical="center"/>
    </xf>
    <xf numFmtId="0" fontId="8" fillId="4" borderId="83" xfId="0" applyFont="1" applyFill="1" applyBorder="1" applyAlignment="1" applyProtection="1">
      <alignment horizontal="center"/>
    </xf>
    <xf numFmtId="1" fontId="23" fillId="3" borderId="95" xfId="0" applyNumberFormat="1" applyFont="1" applyFill="1" applyBorder="1" applyAlignment="1" applyProtection="1">
      <alignment horizontal="center" vertical="center"/>
    </xf>
    <xf numFmtId="0" fontId="72" fillId="3" borderId="27" xfId="0" applyFont="1" applyFill="1" applyBorder="1" applyAlignment="1" applyProtection="1">
      <alignment horizontal="right" vertical="center"/>
    </xf>
    <xf numFmtId="0" fontId="72" fillId="3" borderId="16" xfId="0" applyFont="1" applyFill="1" applyBorder="1" applyAlignment="1" applyProtection="1">
      <alignment horizontal="right" vertical="center"/>
    </xf>
    <xf numFmtId="0" fontId="20" fillId="4" borderId="0" xfId="9" applyFill="1" applyBorder="1" applyAlignment="1" applyProtection="1">
      <alignment horizontal="left" vertical="center"/>
    </xf>
    <xf numFmtId="0" fontId="0" fillId="0" borderId="28" xfId="0" applyBorder="1" applyAlignment="1" applyProtection="1">
      <alignment horizontal="right" vertical="center"/>
    </xf>
    <xf numFmtId="0" fontId="0" fillId="0" borderId="23" xfId="0" applyBorder="1" applyAlignment="1" applyProtection="1">
      <alignment horizontal="right" vertical="center"/>
    </xf>
    <xf numFmtId="164" fontId="23" fillId="3" borderId="82" xfId="0" applyNumberFormat="1" applyFont="1" applyFill="1" applyBorder="1" applyAlignment="1" applyProtection="1">
      <alignment horizontal="center" vertical="center"/>
    </xf>
    <xf numFmtId="0" fontId="0" fillId="0" borderId="27" xfId="0" applyBorder="1" applyAlignment="1" applyProtection="1">
      <alignment horizontal="right" vertical="center"/>
    </xf>
    <xf numFmtId="0" fontId="0" fillId="0" borderId="3" xfId="0" applyBorder="1" applyAlignment="1" applyProtection="1">
      <alignment horizontal="right" vertical="center"/>
    </xf>
    <xf numFmtId="2" fontId="23" fillId="4" borderId="17" xfId="0" applyNumberFormat="1" applyFont="1" applyFill="1" applyBorder="1" applyAlignment="1" applyProtection="1">
      <alignment horizontal="center" vertical="center"/>
    </xf>
    <xf numFmtId="2" fontId="23" fillId="4" borderId="50" xfId="0" applyNumberFormat="1" applyFont="1" applyFill="1" applyBorder="1" applyAlignment="1" applyProtection="1">
      <alignment horizontal="center" vertical="center"/>
    </xf>
    <xf numFmtId="2" fontId="6" fillId="2" borderId="28" xfId="0" applyNumberFormat="1" applyFont="1" applyFill="1" applyBorder="1" applyAlignment="1" applyProtection="1">
      <alignment horizontal="center" vertical="center"/>
      <protection locked="0"/>
    </xf>
    <xf numFmtId="2" fontId="6" fillId="2" borderId="17" xfId="0" applyNumberFormat="1" applyFont="1" applyFill="1" applyBorder="1" applyAlignment="1" applyProtection="1">
      <alignment horizontal="center" vertical="center"/>
      <protection locked="0"/>
    </xf>
    <xf numFmtId="2" fontId="6" fillId="2" borderId="50" xfId="0" applyNumberFormat="1" applyFont="1" applyFill="1" applyBorder="1" applyAlignment="1" applyProtection="1">
      <alignment horizontal="center" vertical="center"/>
      <protection locked="0"/>
    </xf>
    <xf numFmtId="164" fontId="6" fillId="2" borderId="28" xfId="0" applyNumberFormat="1" applyFont="1" applyFill="1" applyBorder="1" applyAlignment="1" applyProtection="1">
      <alignment horizontal="center" vertical="center"/>
      <protection locked="0"/>
    </xf>
    <xf numFmtId="164" fontId="6" fillId="2" borderId="17" xfId="0" applyNumberFormat="1" applyFont="1" applyFill="1" applyBorder="1" applyAlignment="1" applyProtection="1">
      <alignment horizontal="center" vertical="center"/>
      <protection locked="0"/>
    </xf>
    <xf numFmtId="164" fontId="6" fillId="2" borderId="50" xfId="0" applyNumberFormat="1" applyFont="1" applyFill="1" applyBorder="1" applyAlignment="1" applyProtection="1">
      <alignment horizontal="center" vertical="center"/>
      <protection locked="0"/>
    </xf>
    <xf numFmtId="0" fontId="0" fillId="0" borderId="16" xfId="0" applyBorder="1" applyAlignment="1" applyProtection="1">
      <alignment horizontal="right" vertical="center"/>
    </xf>
    <xf numFmtId="0" fontId="0" fillId="0" borderId="27" xfId="0" applyBorder="1" applyAlignment="1" applyProtection="1">
      <alignment horizontal="right" vertical="center" wrapText="1"/>
    </xf>
    <xf numFmtId="0" fontId="0" fillId="0" borderId="16" xfId="0" applyBorder="1" applyAlignment="1" applyProtection="1">
      <alignment horizontal="right" vertical="center" wrapText="1"/>
    </xf>
    <xf numFmtId="2" fontId="23" fillId="3" borderId="82" xfId="0" applyNumberFormat="1" applyFont="1" applyFill="1" applyBorder="1" applyAlignment="1" applyProtection="1">
      <alignment horizontal="center" vertical="center"/>
    </xf>
    <xf numFmtId="0" fontId="3" fillId="4" borderId="28" xfId="0" applyFont="1" applyFill="1" applyBorder="1" applyAlignment="1" applyProtection="1">
      <alignment horizontal="center" vertical="center"/>
    </xf>
    <xf numFmtId="0" fontId="3" fillId="4" borderId="17" xfId="0" applyFont="1" applyFill="1" applyBorder="1" applyAlignment="1" applyProtection="1">
      <alignment horizontal="center" vertical="center"/>
    </xf>
    <xf numFmtId="164" fontId="6" fillId="2" borderId="82" xfId="0" applyNumberFormat="1" applyFont="1" applyFill="1" applyBorder="1" applyAlignment="1" applyProtection="1">
      <alignment horizontal="center" vertical="center"/>
      <protection locked="0"/>
    </xf>
    <xf numFmtId="0" fontId="7" fillId="3" borderId="0" xfId="0" applyFont="1" applyFill="1" applyBorder="1" applyAlignment="1" applyProtection="1">
      <alignment horizontal="right" vertical="center"/>
    </xf>
    <xf numFmtId="0" fontId="7" fillId="3" borderId="1" xfId="0" applyNumberFormat="1" applyFont="1" applyFill="1" applyBorder="1" applyAlignment="1" applyProtection="1">
      <alignment horizontal="center"/>
    </xf>
    <xf numFmtId="0" fontId="7" fillId="3" borderId="53" xfId="0" applyNumberFormat="1" applyFont="1" applyFill="1" applyBorder="1" applyAlignment="1" applyProtection="1">
      <alignment horizontal="center"/>
    </xf>
    <xf numFmtId="0" fontId="7" fillId="3" borderId="54" xfId="0" applyNumberFormat="1" applyFont="1" applyFill="1" applyBorder="1" applyAlignment="1" applyProtection="1">
      <alignment horizontal="center"/>
    </xf>
    <xf numFmtId="0" fontId="0" fillId="3" borderId="16" xfId="0" applyFill="1" applyBorder="1" applyAlignment="1" applyProtection="1">
      <alignment horizontal="right" vertical="center"/>
    </xf>
    <xf numFmtId="2" fontId="0" fillId="2" borderId="82" xfId="0" applyNumberFormat="1" applyFill="1" applyBorder="1" applyAlignment="1" applyProtection="1">
      <alignment horizontal="center" vertical="center"/>
      <protection locked="0"/>
    </xf>
    <xf numFmtId="2" fontId="0" fillId="2" borderId="82" xfId="0" applyNumberFormat="1" applyFont="1" applyFill="1" applyBorder="1" applyAlignment="1" applyProtection="1">
      <alignment horizontal="center" vertical="center"/>
      <protection locked="0"/>
    </xf>
    <xf numFmtId="0" fontId="8" fillId="4" borderId="93" xfId="0" applyFont="1" applyFill="1" applyBorder="1" applyAlignment="1" applyProtection="1">
      <alignment horizontal="center" vertical="center"/>
    </xf>
    <xf numFmtId="0" fontId="3" fillId="4" borderId="90" xfId="0" applyFont="1" applyFill="1" applyBorder="1" applyAlignment="1" applyProtection="1">
      <alignment horizontal="center" vertical="center"/>
    </xf>
    <xf numFmtId="0" fontId="3" fillId="4" borderId="64" xfId="0" applyFont="1" applyFill="1" applyBorder="1" applyAlignment="1" applyProtection="1">
      <alignment horizontal="center" vertical="center"/>
    </xf>
    <xf numFmtId="0" fontId="11" fillId="3" borderId="0" xfId="0" applyFont="1" applyFill="1" applyAlignment="1" applyProtection="1">
      <alignment horizontal="center"/>
    </xf>
    <xf numFmtId="0" fontId="8" fillId="4" borderId="87" xfId="0" applyFont="1" applyFill="1" applyBorder="1" applyAlignment="1" applyProtection="1">
      <alignment horizontal="center"/>
    </xf>
    <xf numFmtId="2" fontId="0" fillId="2" borderId="28" xfId="0" applyNumberFormat="1" applyFont="1" applyFill="1" applyBorder="1" applyAlignment="1" applyProtection="1">
      <alignment horizontal="center" vertical="center"/>
      <protection locked="0"/>
    </xf>
    <xf numFmtId="2" fontId="0" fillId="2" borderId="50" xfId="0" applyNumberFormat="1" applyFont="1" applyFill="1" applyBorder="1" applyAlignment="1" applyProtection="1">
      <alignment horizontal="center" vertical="center"/>
      <protection locked="0"/>
    </xf>
    <xf numFmtId="0" fontId="8" fillId="4" borderId="84" xfId="0" applyFont="1" applyFill="1" applyBorder="1" applyAlignment="1" applyProtection="1">
      <alignment horizontal="left" vertical="center"/>
    </xf>
    <xf numFmtId="0" fontId="8" fillId="4" borderId="88" xfId="0" applyFont="1" applyFill="1" applyBorder="1" applyAlignment="1" applyProtection="1">
      <alignment horizontal="left" vertical="center"/>
    </xf>
    <xf numFmtId="2" fontId="0" fillId="3" borderId="27" xfId="0" applyNumberFormat="1" applyFont="1" applyFill="1" applyBorder="1" applyAlignment="1" applyProtection="1">
      <alignment horizontal="center" vertical="center"/>
    </xf>
    <xf numFmtId="2" fontId="0" fillId="3" borderId="81" xfId="0" applyNumberFormat="1" applyFont="1" applyFill="1" applyBorder="1" applyAlignment="1" applyProtection="1">
      <alignment horizontal="center" vertical="center"/>
    </xf>
    <xf numFmtId="0" fontId="8" fillId="4" borderId="83" xfId="0" applyFont="1" applyFill="1" applyBorder="1" applyAlignment="1" applyProtection="1">
      <alignment horizontal="center" vertical="center"/>
    </xf>
    <xf numFmtId="0" fontId="49" fillId="3" borderId="0" xfId="0" applyFont="1" applyFill="1" applyAlignment="1" applyProtection="1">
      <alignment horizontal="center"/>
    </xf>
    <xf numFmtId="0" fontId="76" fillId="3" borderId="0" xfId="0" applyFont="1" applyFill="1" applyBorder="1" applyAlignment="1" applyProtection="1">
      <alignment horizontal="center" vertical="center"/>
    </xf>
    <xf numFmtId="164" fontId="23" fillId="3" borderId="102" xfId="0" applyNumberFormat="1" applyFont="1" applyFill="1" applyBorder="1" applyAlignment="1" applyProtection="1">
      <alignment horizontal="center" vertical="center"/>
    </xf>
    <xf numFmtId="164" fontId="23" fillId="3" borderId="91" xfId="0" applyNumberFormat="1" applyFont="1" applyFill="1" applyBorder="1" applyAlignment="1" applyProtection="1">
      <alignment horizontal="center" vertical="center"/>
    </xf>
    <xf numFmtId="0" fontId="0" fillId="3" borderId="78" xfId="0" applyFont="1" applyFill="1" applyBorder="1" applyAlignment="1" applyProtection="1">
      <alignment horizontal="right" vertical="center"/>
    </xf>
    <xf numFmtId="0" fontId="0" fillId="3" borderId="101" xfId="0" applyFont="1" applyFill="1" applyBorder="1" applyAlignment="1" applyProtection="1">
      <alignment horizontal="right" vertical="center"/>
    </xf>
    <xf numFmtId="2" fontId="61" fillId="6" borderId="3" xfId="0" applyNumberFormat="1" applyFont="1" applyFill="1" applyBorder="1" applyAlignment="1" applyProtection="1">
      <alignment horizontal="center" vertical="center"/>
    </xf>
    <xf numFmtId="2" fontId="61" fillId="6" borderId="81" xfId="0" applyNumberFormat="1" applyFont="1" applyFill="1" applyBorder="1" applyAlignment="1" applyProtection="1">
      <alignment horizontal="center" vertical="center"/>
    </xf>
    <xf numFmtId="0" fontId="51" fillId="6" borderId="27" xfId="0" applyFont="1" applyFill="1" applyBorder="1" applyAlignment="1" applyProtection="1">
      <alignment horizontal="right" vertical="center"/>
    </xf>
    <xf numFmtId="0" fontId="51" fillId="6" borderId="3" xfId="0" applyFont="1" applyFill="1" applyBorder="1" applyAlignment="1" applyProtection="1">
      <alignment horizontal="right" vertical="center"/>
    </xf>
    <xf numFmtId="164" fontId="61" fillId="6" borderId="64" xfId="0" applyNumberFormat="1" applyFont="1" applyFill="1" applyBorder="1" applyAlignment="1" applyProtection="1">
      <alignment horizontal="center" vertical="center"/>
    </xf>
    <xf numFmtId="164" fontId="61" fillId="6" borderId="37" xfId="0" applyNumberFormat="1" applyFont="1" applyFill="1" applyBorder="1" applyAlignment="1" applyProtection="1">
      <alignment horizontal="center" vertical="center"/>
    </xf>
    <xf numFmtId="164" fontId="61" fillId="6" borderId="65" xfId="0" applyNumberFormat="1" applyFont="1" applyFill="1" applyBorder="1" applyAlignment="1" applyProtection="1">
      <alignment horizontal="center" vertical="center"/>
    </xf>
    <xf numFmtId="0" fontId="3" fillId="3" borderId="69" xfId="0" applyFont="1" applyFill="1" applyBorder="1" applyAlignment="1" applyProtection="1">
      <alignment horizontal="right" vertical="center"/>
    </xf>
    <xf numFmtId="0" fontId="3" fillId="3" borderId="60" xfId="0" applyFont="1" applyFill="1" applyBorder="1" applyAlignment="1" applyProtection="1">
      <alignment horizontal="right" vertical="center"/>
    </xf>
    <xf numFmtId="0" fontId="0" fillId="0" borderId="27" xfId="0" applyBorder="1" applyAlignment="1" applyProtection="1">
      <alignment horizontal="right"/>
    </xf>
    <xf numFmtId="0" fontId="0" fillId="0" borderId="3" xfId="0" applyBorder="1" applyAlignment="1" applyProtection="1">
      <alignment horizontal="right"/>
    </xf>
    <xf numFmtId="4" fontId="74" fillId="3" borderId="84" xfId="0" applyNumberFormat="1" applyFont="1" applyFill="1" applyBorder="1" applyAlignment="1" applyProtection="1">
      <alignment horizontal="center" vertical="center"/>
    </xf>
    <xf numFmtId="4" fontId="74" fillId="3" borderId="85" xfId="0" applyNumberFormat="1" applyFont="1" applyFill="1" applyBorder="1" applyAlignment="1" applyProtection="1">
      <alignment horizontal="center" vertical="center"/>
    </xf>
    <xf numFmtId="4" fontId="74" fillId="3" borderId="86" xfId="0" applyNumberFormat="1" applyFont="1" applyFill="1" applyBorder="1" applyAlignment="1" applyProtection="1">
      <alignment horizontal="center" vertical="center"/>
    </xf>
    <xf numFmtId="0" fontId="51" fillId="6" borderId="96" xfId="0" applyFont="1" applyFill="1" applyBorder="1" applyAlignment="1" applyProtection="1">
      <alignment horizontal="right" vertical="center"/>
    </xf>
    <xf numFmtId="0" fontId="51" fillId="6" borderId="65" xfId="0" applyFont="1" applyFill="1" applyBorder="1" applyAlignment="1" applyProtection="1">
      <alignment horizontal="right" vertical="center"/>
    </xf>
    <xf numFmtId="0" fontId="0" fillId="3" borderId="100" xfId="0" applyFont="1" applyFill="1" applyBorder="1" applyAlignment="1" applyProtection="1">
      <alignment horizontal="right" vertical="center"/>
    </xf>
    <xf numFmtId="0" fontId="0" fillId="3" borderId="59" xfId="0" applyFont="1" applyFill="1" applyBorder="1" applyAlignment="1" applyProtection="1">
      <alignment horizontal="right" vertical="center"/>
    </xf>
    <xf numFmtId="0" fontId="0" fillId="3" borderId="69" xfId="0" applyFill="1" applyBorder="1" applyAlignment="1" applyProtection="1">
      <alignment horizontal="right" vertical="center"/>
    </xf>
    <xf numFmtId="0" fontId="0" fillId="3" borderId="60" xfId="0" applyFill="1" applyBorder="1" applyAlignment="1" applyProtection="1">
      <alignment horizontal="right" vertical="center"/>
    </xf>
    <xf numFmtId="164" fontId="61" fillId="6" borderId="97" xfId="0" applyNumberFormat="1" applyFont="1" applyFill="1" applyBorder="1" applyAlignment="1" applyProtection="1">
      <alignment horizontal="center" vertical="center"/>
    </xf>
    <xf numFmtId="0" fontId="6" fillId="3" borderId="0" xfId="15" applyFont="1" applyFill="1" applyBorder="1" applyAlignment="1" applyProtection="1">
      <alignment horizontal="center" vertical="center"/>
    </xf>
    <xf numFmtId="0" fontId="6" fillId="3" borderId="0" xfId="15" applyFont="1" applyFill="1" applyAlignment="1" applyProtection="1">
      <alignment horizontal="center" vertical="center"/>
    </xf>
    <xf numFmtId="0" fontId="0" fillId="3" borderId="0" xfId="0" applyFill="1" applyAlignment="1" applyProtection="1">
      <alignment horizontal="center"/>
    </xf>
    <xf numFmtId="0" fontId="16" fillId="3" borderId="7" xfId="10" applyFont="1" applyFill="1" applyBorder="1" applyAlignment="1" applyProtection="1">
      <alignment horizontal="center" vertical="center" wrapText="1"/>
    </xf>
    <xf numFmtId="0" fontId="16" fillId="3" borderId="9" xfId="10" applyFont="1" applyFill="1" applyBorder="1" applyAlignment="1" applyProtection="1">
      <alignment horizontal="center" vertical="center" wrapText="1"/>
    </xf>
    <xf numFmtId="0" fontId="16" fillId="3" borderId="6" xfId="10" applyFont="1" applyFill="1" applyBorder="1" applyAlignment="1" applyProtection="1">
      <alignment horizontal="center" vertical="center" wrapText="1"/>
    </xf>
    <xf numFmtId="0" fontId="16" fillId="3" borderId="10" xfId="10" applyFont="1" applyFill="1" applyBorder="1" applyAlignment="1" applyProtection="1">
      <alignment horizontal="center" vertical="center" wrapText="1"/>
    </xf>
    <xf numFmtId="0" fontId="24" fillId="3" borderId="7" xfId="0" applyFont="1" applyFill="1" applyBorder="1" applyAlignment="1" applyProtection="1">
      <alignment horizontal="center" vertical="center" wrapText="1"/>
    </xf>
    <xf numFmtId="0" fontId="24" fillId="3" borderId="8" xfId="0" applyFont="1" applyFill="1" applyBorder="1" applyAlignment="1" applyProtection="1">
      <alignment horizontal="center" vertical="center" wrapText="1"/>
    </xf>
    <xf numFmtId="0" fontId="24" fillId="3" borderId="9" xfId="0" applyFont="1" applyFill="1" applyBorder="1" applyAlignment="1" applyProtection="1">
      <alignment horizontal="center" vertical="center" wrapText="1"/>
    </xf>
    <xf numFmtId="0" fontId="24" fillId="3" borderId="6" xfId="0" applyFont="1" applyFill="1" applyBorder="1" applyAlignment="1" applyProtection="1">
      <alignment horizontal="center" vertical="center" wrapText="1"/>
    </xf>
    <xf numFmtId="0" fontId="24" fillId="3" borderId="0" xfId="0" applyFont="1" applyFill="1" applyBorder="1" applyAlignment="1" applyProtection="1">
      <alignment horizontal="center" vertical="center" wrapText="1"/>
    </xf>
    <xf numFmtId="0" fontId="24" fillId="3" borderId="10" xfId="0" applyFont="1" applyFill="1" applyBorder="1" applyAlignment="1" applyProtection="1">
      <alignment horizontal="center" vertical="center" wrapText="1"/>
    </xf>
    <xf numFmtId="0" fontId="24" fillId="3" borderId="11" xfId="0" applyFont="1" applyFill="1" applyBorder="1" applyAlignment="1" applyProtection="1">
      <alignment horizontal="center" vertical="center" wrapText="1"/>
    </xf>
    <xf numFmtId="0" fontId="24" fillId="3" borderId="12" xfId="0" applyFont="1" applyFill="1" applyBorder="1" applyAlignment="1" applyProtection="1">
      <alignment horizontal="center" vertical="center" wrapText="1"/>
    </xf>
    <xf numFmtId="0" fontId="24" fillId="3" borderId="13" xfId="0" applyFont="1" applyFill="1" applyBorder="1" applyAlignment="1" applyProtection="1">
      <alignment horizontal="center" vertical="center" wrapText="1"/>
    </xf>
    <xf numFmtId="0" fontId="16" fillId="3" borderId="25" xfId="21" applyFont="1" applyFill="1" applyBorder="1" applyAlignment="1" applyProtection="1">
      <alignment horizontal="center"/>
    </xf>
    <xf numFmtId="0" fontId="16" fillId="3" borderId="26" xfId="21" applyFont="1" applyFill="1" applyBorder="1" applyAlignment="1" applyProtection="1">
      <alignment horizontal="center"/>
    </xf>
    <xf numFmtId="0" fontId="16" fillId="3" borderId="38" xfId="21" applyFont="1" applyFill="1" applyBorder="1" applyAlignment="1" applyProtection="1">
      <alignment horizontal="center"/>
    </xf>
    <xf numFmtId="0" fontId="7" fillId="3" borderId="7" xfId="10" applyFont="1" applyFill="1" applyBorder="1" applyAlignment="1" applyProtection="1">
      <alignment horizontal="center" vertical="center"/>
    </xf>
    <xf numFmtId="0" fontId="7" fillId="3" borderId="8" xfId="10" applyFont="1" applyFill="1" applyBorder="1" applyAlignment="1" applyProtection="1">
      <alignment horizontal="center" vertical="center"/>
    </xf>
    <xf numFmtId="0" fontId="7" fillId="3" borderId="9" xfId="10" applyFont="1" applyFill="1" applyBorder="1" applyAlignment="1" applyProtection="1">
      <alignment horizontal="center" vertical="center"/>
    </xf>
    <xf numFmtId="0" fontId="8" fillId="3" borderId="11" xfId="0" applyFont="1" applyFill="1" applyBorder="1" applyAlignment="1" applyProtection="1">
      <alignment horizontal="center" vertical="center"/>
    </xf>
    <xf numFmtId="0" fontId="8" fillId="3" borderId="12" xfId="0" applyFont="1" applyFill="1" applyBorder="1" applyAlignment="1" applyProtection="1">
      <alignment horizontal="center" vertical="center"/>
    </xf>
    <xf numFmtId="0" fontId="19" fillId="3" borderId="6" xfId="21" applyFont="1" applyFill="1" applyBorder="1" applyAlignment="1" applyProtection="1">
      <alignment horizontal="center"/>
    </xf>
    <xf numFmtId="0" fontId="19" fillId="3" borderId="0" xfId="21" applyFont="1" applyFill="1" applyBorder="1" applyAlignment="1" applyProtection="1">
      <alignment horizontal="center"/>
    </xf>
    <xf numFmtId="0" fontId="19" fillId="3" borderId="10" xfId="21" applyFont="1" applyFill="1" applyBorder="1" applyAlignment="1" applyProtection="1">
      <alignment horizontal="center"/>
    </xf>
    <xf numFmtId="0" fontId="19" fillId="3" borderId="6" xfId="21" applyFont="1" applyFill="1" applyBorder="1" applyAlignment="1" applyProtection="1">
      <alignment horizontal="center" vertical="center"/>
    </xf>
    <xf numFmtId="0" fontId="19" fillId="3" borderId="0" xfId="21" applyFont="1" applyFill="1" applyBorder="1" applyAlignment="1" applyProtection="1">
      <alignment horizontal="center" vertical="center"/>
    </xf>
    <xf numFmtId="0" fontId="19" fillId="3" borderId="10" xfId="21" applyFont="1" applyFill="1" applyBorder="1" applyAlignment="1" applyProtection="1">
      <alignment horizontal="center" vertical="center"/>
    </xf>
    <xf numFmtId="0" fontId="5" fillId="3" borderId="6" xfId="10" applyFont="1" applyFill="1" applyBorder="1" applyAlignment="1" applyProtection="1">
      <alignment horizontal="center" vertical="center"/>
    </xf>
    <xf numFmtId="0" fontId="5" fillId="3" borderId="10" xfId="10" applyFont="1" applyFill="1" applyBorder="1" applyAlignment="1" applyProtection="1">
      <alignment horizontal="center" vertical="center"/>
    </xf>
    <xf numFmtId="0" fontId="12" fillId="3" borderId="7" xfId="21" applyFont="1" applyFill="1" applyBorder="1" applyAlignment="1" applyProtection="1">
      <alignment horizontal="center" vertical="center"/>
    </xf>
    <xf numFmtId="0" fontId="12" fillId="3" borderId="8" xfId="21" applyFont="1" applyFill="1" applyBorder="1" applyAlignment="1" applyProtection="1">
      <alignment horizontal="center" vertical="center"/>
    </xf>
    <xf numFmtId="0" fontId="12" fillId="3" borderId="9" xfId="21" applyFont="1" applyFill="1" applyBorder="1" applyAlignment="1" applyProtection="1">
      <alignment horizontal="center" vertical="center"/>
    </xf>
    <xf numFmtId="0" fontId="19" fillId="3" borderId="0" xfId="15" applyFont="1" applyFill="1" applyAlignment="1" applyProtection="1">
      <alignment horizontal="center" vertical="center"/>
    </xf>
    <xf numFmtId="0" fontId="0" fillId="3" borderId="25" xfId="0" applyFill="1" applyBorder="1" applyAlignment="1" applyProtection="1">
      <alignment horizontal="right" vertical="center"/>
    </xf>
    <xf numFmtId="0" fontId="0" fillId="3" borderId="56" xfId="0" applyFill="1" applyBorder="1" applyAlignment="1" applyProtection="1">
      <alignment horizontal="right" vertical="center"/>
    </xf>
    <xf numFmtId="0" fontId="3" fillId="3" borderId="7"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3" fillId="3" borderId="12" xfId="0" applyFont="1" applyFill="1" applyBorder="1" applyAlignment="1" applyProtection="1">
      <alignment horizontal="center" vertical="center" wrapText="1"/>
    </xf>
    <xf numFmtId="0" fontId="3" fillId="3" borderId="13" xfId="0" applyFont="1" applyFill="1" applyBorder="1" applyAlignment="1" applyProtection="1">
      <alignment horizontal="center" vertical="center" wrapText="1"/>
    </xf>
    <xf numFmtId="0" fontId="24" fillId="3" borderId="45" xfId="0" applyFont="1" applyFill="1" applyBorder="1" applyAlignment="1" applyProtection="1">
      <alignment horizontal="center" vertical="center" wrapText="1"/>
    </xf>
    <xf numFmtId="0" fontId="24" fillId="3" borderId="106" xfId="0" applyFont="1" applyFill="1" applyBorder="1" applyAlignment="1" applyProtection="1">
      <alignment horizontal="center" vertical="center" wrapText="1"/>
    </xf>
    <xf numFmtId="0" fontId="24" fillId="3" borderId="44" xfId="0" applyFont="1" applyFill="1" applyBorder="1" applyAlignment="1" applyProtection="1">
      <alignment horizontal="center" vertical="center" wrapText="1"/>
    </xf>
    <xf numFmtId="0" fontId="24" fillId="3" borderId="107" xfId="0" applyFont="1" applyFill="1" applyBorder="1" applyAlignment="1" applyProtection="1">
      <alignment horizontal="center" vertical="center" wrapText="1"/>
    </xf>
    <xf numFmtId="0" fontId="24" fillId="3" borderId="46" xfId="0" applyFont="1" applyFill="1" applyBorder="1" applyAlignment="1" applyProtection="1">
      <alignment horizontal="center" vertical="center" wrapText="1"/>
    </xf>
    <xf numFmtId="0" fontId="24" fillId="3" borderId="108" xfId="0" applyFont="1" applyFill="1" applyBorder="1" applyAlignment="1" applyProtection="1">
      <alignment horizontal="center" vertical="center" wrapText="1"/>
    </xf>
    <xf numFmtId="0" fontId="0" fillId="3" borderId="2" xfId="0" applyFill="1" applyBorder="1" applyAlignment="1" applyProtection="1">
      <alignment horizontal="right" vertical="center"/>
    </xf>
    <xf numFmtId="0" fontId="0" fillId="3" borderId="3" xfId="0" applyFont="1" applyFill="1" applyBorder="1" applyAlignment="1" applyProtection="1">
      <alignment horizontal="right" vertical="center"/>
    </xf>
    <xf numFmtId="2" fontId="0" fillId="0" borderId="16" xfId="0" applyNumberFormat="1" applyBorder="1" applyAlignment="1" applyProtection="1">
      <alignment horizontal="center" vertical="center"/>
    </xf>
    <xf numFmtId="2" fontId="0" fillId="0" borderId="17" xfId="0" applyNumberFormat="1" applyBorder="1" applyAlignment="1" applyProtection="1">
      <alignment horizontal="center" vertical="center"/>
    </xf>
    <xf numFmtId="2" fontId="0" fillId="0" borderId="18" xfId="0" applyNumberFormat="1" applyBorder="1" applyAlignment="1" applyProtection="1">
      <alignment horizontal="center" vertical="center"/>
    </xf>
    <xf numFmtId="2" fontId="68" fillId="5" borderId="5" xfId="0" applyNumberFormat="1" applyFont="1" applyFill="1" applyBorder="1" applyAlignment="1" applyProtection="1">
      <alignment horizontal="center" vertical="center"/>
    </xf>
    <xf numFmtId="2" fontId="68" fillId="5" borderId="34" xfId="0" applyNumberFormat="1" applyFont="1" applyFill="1" applyBorder="1" applyAlignment="1" applyProtection="1">
      <alignment horizontal="center" vertical="center"/>
    </xf>
    <xf numFmtId="2" fontId="68" fillId="5" borderId="3" xfId="0" applyNumberFormat="1" applyFont="1" applyFill="1" applyBorder="1" applyAlignment="1" applyProtection="1">
      <alignment horizontal="center" vertical="center"/>
    </xf>
    <xf numFmtId="2" fontId="68" fillId="5" borderId="33" xfId="0" applyNumberFormat="1" applyFont="1" applyFill="1" applyBorder="1" applyAlignment="1" applyProtection="1">
      <alignment horizontal="center" vertical="center"/>
    </xf>
    <xf numFmtId="2" fontId="0" fillId="5" borderId="3" xfId="0" applyNumberFormat="1" applyFill="1" applyBorder="1" applyAlignment="1" applyProtection="1">
      <alignment horizontal="center" vertical="center"/>
    </xf>
    <xf numFmtId="2" fontId="0" fillId="5" borderId="17" xfId="0" applyNumberFormat="1" applyFill="1" applyBorder="1" applyAlignment="1" applyProtection="1">
      <alignment horizontal="center" vertical="center"/>
    </xf>
    <xf numFmtId="2" fontId="0" fillId="5" borderId="23" xfId="0" applyNumberFormat="1" applyFill="1" applyBorder="1" applyAlignment="1" applyProtection="1">
      <alignment horizontal="center" vertical="center"/>
    </xf>
    <xf numFmtId="2" fontId="0" fillId="5" borderId="16" xfId="0" applyNumberFormat="1" applyFill="1" applyBorder="1" applyAlignment="1" applyProtection="1">
      <alignment horizontal="center" vertical="center"/>
    </xf>
    <xf numFmtId="2" fontId="0" fillId="5" borderId="18" xfId="0" applyNumberFormat="1" applyFill="1" applyBorder="1" applyAlignment="1" applyProtection="1">
      <alignment horizontal="center" vertical="center"/>
    </xf>
    <xf numFmtId="2" fontId="0" fillId="3" borderId="3" xfId="0" applyNumberFormat="1" applyFill="1" applyBorder="1" applyAlignment="1" applyProtection="1">
      <alignment horizontal="center" vertical="center"/>
    </xf>
    <xf numFmtId="0" fontId="0" fillId="3" borderId="3" xfId="0" applyFill="1" applyBorder="1" applyAlignment="1" applyProtection="1">
      <alignment horizontal="center" vertical="center"/>
    </xf>
    <xf numFmtId="2" fontId="0" fillId="3" borderId="33" xfId="0" applyNumberFormat="1" applyFill="1" applyBorder="1" applyAlignment="1" applyProtection="1">
      <alignment horizontal="center" vertical="center"/>
    </xf>
    <xf numFmtId="2" fontId="7" fillId="4" borderId="3" xfId="3" applyFont="1" applyFill="1" applyBorder="1" applyAlignment="1" applyProtection="1">
      <alignment horizontal="center" vertical="center"/>
    </xf>
    <xf numFmtId="2" fontId="7" fillId="4" borderId="33" xfId="3" applyFont="1" applyFill="1" applyBorder="1" applyAlignment="1" applyProtection="1">
      <alignment horizontal="center" vertical="center"/>
    </xf>
    <xf numFmtId="0" fontId="0" fillId="3" borderId="33" xfId="0" applyFill="1" applyBorder="1" applyAlignment="1" applyProtection="1">
      <alignment horizontal="center" vertical="center"/>
    </xf>
    <xf numFmtId="9" fontId="0" fillId="3" borderId="3" xfId="0" applyNumberFormat="1" applyFill="1" applyBorder="1" applyAlignment="1" applyProtection="1">
      <alignment horizontal="center" vertical="center"/>
    </xf>
    <xf numFmtId="9" fontId="0" fillId="3" borderId="33" xfId="0" applyNumberFormat="1" applyFill="1" applyBorder="1" applyAlignment="1" applyProtection="1">
      <alignment horizontal="center" vertical="center"/>
    </xf>
    <xf numFmtId="0" fontId="20" fillId="3" borderId="0" xfId="9" applyFill="1" applyBorder="1" applyAlignment="1" applyProtection="1">
      <alignment horizontal="center" vertical="center"/>
    </xf>
    <xf numFmtId="1" fontId="6" fillId="3" borderId="16" xfId="3" applyNumberFormat="1" applyFont="1" applyFill="1" applyBorder="1" applyAlignment="1" applyProtection="1">
      <alignment horizontal="center"/>
    </xf>
    <xf numFmtId="1" fontId="6" fillId="3" borderId="23" xfId="3" applyNumberFormat="1" applyFont="1" applyFill="1" applyBorder="1" applyAlignment="1" applyProtection="1">
      <alignment horizontal="center"/>
    </xf>
    <xf numFmtId="1" fontId="6" fillId="3" borderId="60" xfId="3" applyNumberFormat="1" applyFont="1" applyFill="1" applyBorder="1" applyAlignment="1" applyProtection="1">
      <alignment horizontal="center"/>
    </xf>
    <xf numFmtId="1" fontId="6" fillId="3" borderId="61" xfId="3" applyNumberFormat="1" applyFont="1" applyFill="1" applyBorder="1" applyAlignment="1" applyProtection="1">
      <alignment horizontal="center"/>
    </xf>
    <xf numFmtId="2" fontId="6" fillId="3" borderId="3" xfId="1" applyFont="1" applyFill="1" applyBorder="1" applyAlignment="1" applyProtection="1">
      <alignment horizontal="center" vertical="center"/>
    </xf>
    <xf numFmtId="2" fontId="0" fillId="0" borderId="3" xfId="0" applyNumberFormat="1" applyBorder="1" applyAlignment="1" applyProtection="1">
      <alignment horizontal="center" vertical="center"/>
    </xf>
    <xf numFmtId="2" fontId="0" fillId="0" borderId="33" xfId="0" applyNumberFormat="1" applyBorder="1" applyAlignment="1" applyProtection="1">
      <alignment horizontal="center" vertical="center"/>
    </xf>
    <xf numFmtId="2" fontId="0" fillId="0" borderId="39" xfId="0" applyNumberFormat="1" applyFont="1" applyBorder="1" applyAlignment="1" applyProtection="1">
      <alignment horizontal="center" vertical="center"/>
    </xf>
    <xf numFmtId="2" fontId="0" fillId="0" borderId="55" xfId="0" applyNumberFormat="1" applyFont="1" applyBorder="1" applyAlignment="1" applyProtection="1">
      <alignment horizontal="center" vertical="center"/>
    </xf>
    <xf numFmtId="0" fontId="5" fillId="3" borderId="0" xfId="10" applyFont="1" applyFill="1" applyBorder="1" applyAlignment="1" applyProtection="1">
      <alignment horizontal="center" vertical="center"/>
    </xf>
    <xf numFmtId="0" fontId="16" fillId="3" borderId="7" xfId="10" applyFont="1" applyFill="1" applyBorder="1" applyAlignment="1" applyProtection="1">
      <alignment horizontal="center" vertical="center"/>
    </xf>
    <xf numFmtId="0" fontId="16" fillId="3" borderId="8" xfId="10" applyFont="1" applyFill="1" applyBorder="1" applyAlignment="1" applyProtection="1">
      <alignment horizontal="center" vertical="center"/>
    </xf>
    <xf numFmtId="2" fontId="6" fillId="3" borderId="16" xfId="7" applyNumberFormat="1" applyFont="1" applyFill="1" applyBorder="1" applyAlignment="1" applyProtection="1">
      <alignment horizontal="center" vertical="center"/>
    </xf>
    <xf numFmtId="2" fontId="6" fillId="3" borderId="17" xfId="7" applyNumberFormat="1" applyFont="1" applyFill="1" applyBorder="1" applyAlignment="1" applyProtection="1">
      <alignment horizontal="center" vertical="center"/>
    </xf>
    <xf numFmtId="2" fontId="6" fillId="3" borderId="23" xfId="7" applyNumberFormat="1" applyFont="1" applyFill="1" applyBorder="1" applyAlignment="1" applyProtection="1">
      <alignment horizontal="center" vertical="center"/>
    </xf>
    <xf numFmtId="0" fontId="3" fillId="3" borderId="22" xfId="0" applyFont="1" applyFill="1" applyBorder="1" applyAlignment="1" applyProtection="1">
      <alignment horizontal="left" vertical="center" wrapText="1"/>
    </xf>
    <xf numFmtId="0" fontId="3" fillId="3" borderId="17" xfId="0" applyFont="1" applyFill="1" applyBorder="1" applyAlignment="1" applyProtection="1">
      <alignment horizontal="left" vertical="center" wrapText="1"/>
    </xf>
    <xf numFmtId="0" fontId="7" fillId="3" borderId="3" xfId="0" applyFont="1" applyFill="1" applyBorder="1" applyAlignment="1" applyProtection="1">
      <alignment horizontal="center" vertical="center" wrapText="1"/>
    </xf>
    <xf numFmtId="0" fontId="6" fillId="3" borderId="16" xfId="0" applyFont="1" applyFill="1" applyBorder="1" applyAlignment="1" applyProtection="1">
      <alignment horizontal="center" vertical="center"/>
    </xf>
    <xf numFmtId="0" fontId="6" fillId="3" borderId="17" xfId="0" applyFont="1" applyFill="1" applyBorder="1" applyAlignment="1" applyProtection="1">
      <alignment horizontal="center" vertical="center"/>
    </xf>
    <xf numFmtId="0" fontId="6" fillId="3" borderId="23" xfId="0" applyFont="1" applyFill="1" applyBorder="1" applyAlignment="1" applyProtection="1">
      <alignment horizontal="center" vertical="center"/>
    </xf>
    <xf numFmtId="166" fontId="6" fillId="3" borderId="16" xfId="0" applyNumberFormat="1" applyFont="1" applyFill="1" applyBorder="1" applyAlignment="1" applyProtection="1">
      <alignment horizontal="center" vertical="center"/>
    </xf>
    <xf numFmtId="166" fontId="6" fillId="3" borderId="17" xfId="0" applyNumberFormat="1" applyFont="1" applyFill="1" applyBorder="1" applyAlignment="1" applyProtection="1">
      <alignment horizontal="center" vertical="center"/>
    </xf>
    <xf numFmtId="166" fontId="6" fillId="3" borderId="23" xfId="0" applyNumberFormat="1" applyFont="1" applyFill="1" applyBorder="1" applyAlignment="1" applyProtection="1">
      <alignment horizontal="center" vertical="center"/>
    </xf>
    <xf numFmtId="0" fontId="6" fillId="3" borderId="39" xfId="0" applyFont="1" applyFill="1" applyBorder="1" applyAlignment="1" applyProtection="1">
      <alignment horizontal="center" vertical="center"/>
    </xf>
    <xf numFmtId="0" fontId="7" fillId="3" borderId="10" xfId="0" applyFont="1" applyFill="1" applyBorder="1" applyAlignment="1" applyProtection="1">
      <alignment horizontal="right" vertical="center"/>
    </xf>
    <xf numFmtId="0" fontId="8" fillId="4" borderId="25" xfId="0" applyFont="1" applyFill="1" applyBorder="1" applyAlignment="1" applyProtection="1">
      <alignment horizontal="center" vertical="center"/>
    </xf>
    <xf numFmtId="0" fontId="8" fillId="4" borderId="26" xfId="0" applyFont="1" applyFill="1" applyBorder="1" applyAlignment="1" applyProtection="1">
      <alignment horizontal="center" vertical="center"/>
    </xf>
    <xf numFmtId="0" fontId="8" fillId="4" borderId="38" xfId="0" applyFont="1" applyFill="1" applyBorder="1" applyAlignment="1" applyProtection="1">
      <alignment horizontal="center" vertical="center"/>
    </xf>
    <xf numFmtId="0" fontId="0" fillId="0" borderId="2" xfId="0" applyBorder="1" applyAlignment="1" applyProtection="1">
      <alignment horizontal="right" vertical="center"/>
    </xf>
    <xf numFmtId="0" fontId="7" fillId="3" borderId="2" xfId="7" applyFont="1" applyFill="1" applyBorder="1" applyAlignment="1" applyProtection="1">
      <alignment horizontal="right" vertical="center"/>
    </xf>
    <xf numFmtId="0" fontId="7" fillId="3" borderId="3" xfId="7" applyFont="1" applyFill="1" applyBorder="1" applyAlignment="1" applyProtection="1">
      <alignment horizontal="right" vertical="center"/>
    </xf>
    <xf numFmtId="1" fontId="6" fillId="3" borderId="3" xfId="1" applyNumberFormat="1" applyFont="1" applyFill="1" applyBorder="1" applyAlignment="1" applyProtection="1">
      <alignment horizontal="center" vertical="center"/>
    </xf>
    <xf numFmtId="1" fontId="6" fillId="3" borderId="33" xfId="1" applyNumberFormat="1"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0" fontId="3" fillId="4" borderId="3" xfId="0" applyFont="1" applyFill="1" applyBorder="1" applyAlignment="1" applyProtection="1">
      <alignment horizontal="center" vertical="center"/>
    </xf>
    <xf numFmtId="0" fontId="3" fillId="4" borderId="33" xfId="0" applyFont="1" applyFill="1" applyBorder="1" applyAlignment="1" applyProtection="1">
      <alignment horizontal="center" vertical="center"/>
    </xf>
    <xf numFmtId="2" fontId="7" fillId="4" borderId="25" xfId="3" applyFont="1" applyFill="1" applyBorder="1" applyAlignment="1" applyProtection="1">
      <alignment horizontal="left" vertical="center"/>
    </xf>
    <xf numFmtId="2" fontId="7" fillId="4" borderId="26" xfId="3" applyFont="1" applyFill="1" applyBorder="1" applyAlignment="1" applyProtection="1">
      <alignment horizontal="left" vertical="center"/>
    </xf>
    <xf numFmtId="2" fontId="7" fillId="4" borderId="38" xfId="3" applyFont="1" applyFill="1" applyBorder="1" applyAlignment="1" applyProtection="1">
      <alignment horizontal="left" vertical="center"/>
    </xf>
    <xf numFmtId="2" fontId="12" fillId="3" borderId="3" xfId="1" applyFont="1" applyFill="1" applyBorder="1" applyAlignment="1" applyProtection="1">
      <alignment horizontal="center" vertical="center"/>
    </xf>
    <xf numFmtId="9" fontId="6" fillId="3" borderId="3" xfId="1" applyNumberFormat="1" applyFont="1" applyFill="1" applyBorder="1" applyAlignment="1" applyProtection="1">
      <alignment horizontal="center" vertical="center"/>
    </xf>
    <xf numFmtId="0" fontId="6" fillId="3" borderId="2" xfId="7" applyFont="1" applyFill="1" applyBorder="1" applyAlignment="1" applyProtection="1">
      <alignment horizontal="right" vertical="center"/>
    </xf>
    <xf numFmtId="0" fontId="6" fillId="3" borderId="3" xfId="7" applyFont="1" applyFill="1" applyBorder="1" applyAlignment="1" applyProtection="1">
      <alignment horizontal="right" vertical="center"/>
    </xf>
    <xf numFmtId="1" fontId="6" fillId="3" borderId="16" xfId="1" applyNumberFormat="1" applyFont="1" applyFill="1" applyBorder="1" applyAlignment="1" applyProtection="1">
      <alignment horizontal="center" vertical="center"/>
    </xf>
    <xf numFmtId="1" fontId="6" fillId="3" borderId="17" xfId="1" applyNumberFormat="1" applyFont="1" applyFill="1" applyBorder="1" applyAlignment="1" applyProtection="1">
      <alignment horizontal="center" vertical="center"/>
    </xf>
    <xf numFmtId="1" fontId="6" fillId="3" borderId="18" xfId="1" applyNumberFormat="1" applyFont="1" applyFill="1" applyBorder="1" applyAlignment="1" applyProtection="1">
      <alignment horizontal="center" vertical="center"/>
    </xf>
    <xf numFmtId="2" fontId="7" fillId="4" borderId="22" xfId="3" applyFont="1" applyFill="1" applyBorder="1" applyAlignment="1" applyProtection="1">
      <alignment horizontal="left" vertical="center"/>
    </xf>
    <xf numFmtId="2" fontId="7" fillId="4" borderId="17" xfId="3" applyFont="1" applyFill="1" applyBorder="1" applyAlignment="1" applyProtection="1">
      <alignment horizontal="left" vertical="center"/>
    </xf>
    <xf numFmtId="2" fontId="7" fillId="4" borderId="18" xfId="3" applyFont="1" applyFill="1" applyBorder="1" applyAlignment="1" applyProtection="1">
      <alignment horizontal="left" vertical="center"/>
    </xf>
    <xf numFmtId="2" fontId="7" fillId="4" borderId="2" xfId="3" applyFont="1" applyFill="1" applyBorder="1" applyAlignment="1" applyProtection="1">
      <alignment horizontal="center" vertical="center"/>
    </xf>
    <xf numFmtId="0" fontId="6" fillId="3" borderId="2" xfId="0" applyFont="1" applyFill="1" applyBorder="1" applyAlignment="1" applyProtection="1">
      <alignment horizontal="left" vertical="center"/>
    </xf>
    <xf numFmtId="0" fontId="6" fillId="3" borderId="3" xfId="0" applyFont="1" applyFill="1" applyBorder="1" applyAlignment="1" applyProtection="1">
      <alignment horizontal="left" vertical="center"/>
    </xf>
    <xf numFmtId="0" fontId="6" fillId="3" borderId="57" xfId="0" applyFont="1" applyFill="1" applyBorder="1" applyAlignment="1" applyProtection="1">
      <alignment horizontal="left" vertical="center"/>
    </xf>
    <xf numFmtId="0" fontId="6" fillId="3" borderId="39" xfId="0" applyFont="1" applyFill="1" applyBorder="1" applyAlignment="1" applyProtection="1">
      <alignment horizontal="left" vertical="center"/>
    </xf>
    <xf numFmtId="0" fontId="7" fillId="3" borderId="16" xfId="0" applyFont="1" applyFill="1" applyBorder="1" applyAlignment="1" applyProtection="1">
      <alignment horizontal="center" vertical="center" wrapText="1"/>
    </xf>
    <xf numFmtId="0" fontId="7" fillId="3" borderId="17" xfId="0" applyFont="1" applyFill="1" applyBorder="1" applyAlignment="1" applyProtection="1">
      <alignment horizontal="center" vertical="center" wrapText="1"/>
    </xf>
    <xf numFmtId="0" fontId="7" fillId="3" borderId="18" xfId="0" applyFont="1" applyFill="1" applyBorder="1" applyAlignment="1" applyProtection="1">
      <alignment horizontal="center" vertical="center" wrapText="1"/>
    </xf>
    <xf numFmtId="2" fontId="6" fillId="3" borderId="18" xfId="7" applyNumberFormat="1" applyFont="1" applyFill="1" applyBorder="1" applyAlignment="1" applyProtection="1">
      <alignment horizontal="center" vertical="center"/>
    </xf>
    <xf numFmtId="0" fontId="0" fillId="0" borderId="57" xfId="0" applyBorder="1" applyAlignment="1" applyProtection="1">
      <alignment horizontal="right" vertical="center"/>
    </xf>
    <xf numFmtId="0" fontId="0" fillId="0" borderId="39" xfId="0" applyBorder="1" applyAlignment="1" applyProtection="1">
      <alignment horizontal="right" vertical="center"/>
    </xf>
    <xf numFmtId="3" fontId="6" fillId="3" borderId="39" xfId="7" applyNumberFormat="1" applyFont="1" applyFill="1" applyBorder="1" applyAlignment="1" applyProtection="1">
      <alignment horizontal="center" vertical="center"/>
    </xf>
    <xf numFmtId="3" fontId="6" fillId="3" borderId="55" xfId="7" applyNumberFormat="1" applyFont="1" applyFill="1" applyBorder="1" applyAlignment="1" applyProtection="1">
      <alignment horizontal="center" vertical="center"/>
    </xf>
    <xf numFmtId="2" fontId="7" fillId="3" borderId="16" xfId="3" applyFont="1" applyFill="1" applyBorder="1" applyAlignment="1" applyProtection="1">
      <alignment horizontal="center"/>
    </xf>
    <xf numFmtId="2" fontId="7" fillId="3" borderId="23" xfId="3" applyFont="1" applyFill="1" applyBorder="1" applyAlignment="1" applyProtection="1">
      <alignment horizontal="center"/>
    </xf>
    <xf numFmtId="2" fontId="7" fillId="3" borderId="50" xfId="3" applyFont="1" applyFill="1" applyBorder="1" applyAlignment="1" applyProtection="1">
      <alignment horizontal="center"/>
    </xf>
    <xf numFmtId="1" fontId="6" fillId="3" borderId="50" xfId="3" applyNumberFormat="1" applyFont="1" applyFill="1" applyBorder="1" applyAlignment="1" applyProtection="1">
      <alignment horizontal="center"/>
    </xf>
    <xf numFmtId="1" fontId="6" fillId="3" borderId="70" xfId="3" applyNumberFormat="1" applyFont="1" applyFill="1" applyBorder="1" applyAlignment="1" applyProtection="1">
      <alignment horizontal="center"/>
    </xf>
    <xf numFmtId="0" fontId="0" fillId="3" borderId="23" xfId="0" applyFill="1" applyBorder="1" applyProtection="1"/>
    <xf numFmtId="0" fontId="3" fillId="4" borderId="22" xfId="0" applyFont="1" applyFill="1" applyBorder="1" applyAlignment="1" applyProtection="1">
      <alignment horizontal="center" vertical="center"/>
    </xf>
    <xf numFmtId="0" fontId="3" fillId="4" borderId="18" xfId="0" applyFont="1" applyFill="1" applyBorder="1" applyAlignment="1" applyProtection="1">
      <alignment horizontal="center" vertical="center"/>
    </xf>
    <xf numFmtId="0" fontId="0" fillId="3" borderId="57" xfId="0" applyFill="1" applyBorder="1" applyAlignment="1" applyProtection="1">
      <alignment horizontal="right" vertical="center"/>
    </xf>
    <xf numFmtId="0" fontId="0" fillId="3" borderId="39" xfId="0" applyFont="1" applyFill="1" applyBorder="1" applyAlignment="1" applyProtection="1">
      <alignment horizontal="right" vertical="center"/>
    </xf>
    <xf numFmtId="2" fontId="6" fillId="3" borderId="27" xfId="3" applyFont="1" applyFill="1" applyBorder="1" applyAlignment="1" applyProtection="1">
      <alignment horizontal="center"/>
    </xf>
    <xf numFmtId="2" fontId="6" fillId="3" borderId="3" xfId="3" applyFont="1" applyFill="1" applyBorder="1" applyAlignment="1" applyProtection="1">
      <alignment horizontal="center"/>
    </xf>
    <xf numFmtId="2" fontId="6" fillId="3" borderId="69" xfId="3" applyFont="1" applyFill="1" applyBorder="1" applyAlignment="1" applyProtection="1">
      <alignment horizontal="center"/>
    </xf>
    <xf numFmtId="2" fontId="6" fillId="3" borderId="39" xfId="3" applyFont="1" applyFill="1" applyBorder="1" applyAlignment="1" applyProtection="1">
      <alignment horizontal="center"/>
    </xf>
    <xf numFmtId="0" fontId="3" fillId="3" borderId="28" xfId="0" applyFont="1" applyFill="1" applyBorder="1" applyAlignment="1" applyProtection="1">
      <alignment horizontal="center" vertical="center"/>
    </xf>
    <xf numFmtId="0" fontId="3" fillId="3" borderId="17" xfId="0" applyFont="1" applyFill="1" applyBorder="1" applyAlignment="1" applyProtection="1">
      <alignment horizontal="center" vertical="center"/>
    </xf>
    <xf numFmtId="0" fontId="3" fillId="3" borderId="50" xfId="0" applyFont="1" applyFill="1" applyBorder="1" applyAlignment="1" applyProtection="1">
      <alignment horizontal="center" vertical="center"/>
    </xf>
    <xf numFmtId="2" fontId="7" fillId="3" borderId="27" xfId="3" applyFont="1" applyFill="1" applyBorder="1" applyAlignment="1" applyProtection="1">
      <alignment horizontal="center"/>
    </xf>
    <xf numFmtId="2" fontId="7" fillId="3" borderId="3" xfId="3" applyFont="1" applyFill="1" applyBorder="1" applyAlignment="1" applyProtection="1">
      <alignment horizontal="center"/>
    </xf>
    <xf numFmtId="0" fontId="7" fillId="3" borderId="2" xfId="5" applyFont="1" applyFill="1" applyBorder="1" applyAlignment="1" applyProtection="1">
      <alignment horizontal="center" vertical="center"/>
    </xf>
    <xf numFmtId="0" fontId="7" fillId="3" borderId="3" xfId="5" applyFont="1" applyFill="1" applyBorder="1" applyAlignment="1" applyProtection="1">
      <alignment horizontal="center" vertical="center"/>
    </xf>
    <xf numFmtId="0" fontId="7" fillId="3" borderId="33" xfId="5" applyFont="1" applyFill="1" applyBorder="1" applyAlignment="1" applyProtection="1">
      <alignment horizontal="center" vertical="center"/>
    </xf>
    <xf numFmtId="0" fontId="7" fillId="3" borderId="16" xfId="5" applyFont="1" applyFill="1" applyBorder="1" applyAlignment="1" applyProtection="1">
      <alignment horizontal="center" vertical="center" wrapText="1"/>
    </xf>
    <xf numFmtId="0" fontId="7" fillId="3" borderId="17" xfId="5" applyFont="1" applyFill="1" applyBorder="1" applyAlignment="1" applyProtection="1">
      <alignment horizontal="center" vertical="center" wrapText="1"/>
    </xf>
    <xf numFmtId="0" fontId="7" fillId="3" borderId="23" xfId="5" applyFont="1" applyFill="1" applyBorder="1" applyAlignment="1" applyProtection="1">
      <alignment horizontal="center" vertical="center" wrapText="1"/>
    </xf>
    <xf numFmtId="2" fontId="7" fillId="3" borderId="2" xfId="1" applyFont="1" applyFill="1" applyBorder="1" applyAlignment="1" applyProtection="1">
      <alignment horizontal="center" vertical="center"/>
    </xf>
    <xf numFmtId="2" fontId="7" fillId="3" borderId="3" xfId="1" applyFont="1" applyFill="1" applyBorder="1" applyAlignment="1" applyProtection="1">
      <alignment horizontal="center" vertical="center"/>
    </xf>
    <xf numFmtId="2" fontId="6" fillId="3" borderId="2" xfId="1" applyFont="1" applyFill="1" applyBorder="1" applyAlignment="1" applyProtection="1">
      <alignment horizontal="center" vertical="center"/>
    </xf>
    <xf numFmtId="1" fontId="12" fillId="3" borderId="3" xfId="1" applyNumberFormat="1" applyFont="1" applyFill="1" applyBorder="1" applyAlignment="1" applyProtection="1">
      <alignment horizontal="center" vertical="center"/>
    </xf>
    <xf numFmtId="1" fontId="12" fillId="3" borderId="33" xfId="1" applyNumberFormat="1" applyFont="1" applyFill="1" applyBorder="1" applyAlignment="1" applyProtection="1">
      <alignment horizontal="center" vertical="center"/>
    </xf>
    <xf numFmtId="9" fontId="6" fillId="3" borderId="3" xfId="7" applyNumberFormat="1" applyFont="1" applyFill="1" applyBorder="1" applyAlignment="1" applyProtection="1">
      <alignment horizontal="center" vertical="center"/>
    </xf>
    <xf numFmtId="9" fontId="6" fillId="3" borderId="33" xfId="7" applyNumberFormat="1" applyFont="1" applyFill="1" applyBorder="1" applyAlignment="1" applyProtection="1">
      <alignment horizontal="center" vertical="center"/>
    </xf>
    <xf numFmtId="2" fontId="6" fillId="3" borderId="16" xfId="1" applyNumberFormat="1" applyFont="1" applyFill="1" applyBorder="1" applyAlignment="1" applyProtection="1">
      <alignment horizontal="center" vertical="center"/>
    </xf>
    <xf numFmtId="2" fontId="6" fillId="3" borderId="17" xfId="1" applyNumberFormat="1" applyFont="1" applyFill="1" applyBorder="1" applyAlignment="1" applyProtection="1">
      <alignment horizontal="center" vertical="center"/>
    </xf>
    <xf numFmtId="2" fontId="6" fillId="3" borderId="18" xfId="1" applyNumberFormat="1" applyFont="1" applyFill="1" applyBorder="1" applyAlignment="1" applyProtection="1">
      <alignment horizontal="center" vertical="center"/>
    </xf>
    <xf numFmtId="0" fontId="6" fillId="3" borderId="2" xfId="5" applyFont="1" applyFill="1" applyBorder="1" applyAlignment="1" applyProtection="1">
      <alignment horizontal="right" vertical="center"/>
    </xf>
    <xf numFmtId="0" fontId="6" fillId="3" borderId="3" xfId="5" applyFont="1" applyFill="1" applyBorder="1" applyAlignment="1" applyProtection="1">
      <alignment horizontal="right" vertical="center"/>
    </xf>
    <xf numFmtId="2" fontId="6" fillId="3" borderId="3" xfId="3" applyNumberFormat="1" applyFont="1" applyFill="1" applyBorder="1" applyAlignment="1" applyProtection="1">
      <alignment horizontal="center" vertical="center"/>
    </xf>
    <xf numFmtId="2" fontId="6" fillId="3" borderId="33" xfId="3" applyNumberFormat="1" applyFont="1" applyFill="1" applyBorder="1" applyAlignment="1" applyProtection="1">
      <alignment horizontal="center" vertical="center"/>
    </xf>
    <xf numFmtId="2" fontId="7" fillId="4" borderId="27" xfId="3" applyFont="1" applyFill="1" applyBorder="1" applyAlignment="1" applyProtection="1">
      <alignment horizontal="center" vertical="center"/>
    </xf>
    <xf numFmtId="2" fontId="7" fillId="4" borderId="81" xfId="3" applyFont="1" applyFill="1" applyBorder="1" applyAlignment="1" applyProtection="1">
      <alignment horizontal="center" vertical="center"/>
    </xf>
    <xf numFmtId="0" fontId="3" fillId="3" borderId="28" xfId="0" applyFont="1" applyFill="1" applyBorder="1" applyAlignment="1" applyProtection="1">
      <alignment horizontal="left" vertical="center" wrapText="1"/>
    </xf>
    <xf numFmtId="0" fontId="7" fillId="3" borderId="50" xfId="0" applyFont="1" applyFill="1" applyBorder="1" applyAlignment="1" applyProtection="1">
      <alignment horizontal="center" vertical="center" wrapText="1"/>
    </xf>
    <xf numFmtId="0" fontId="6" fillId="3" borderId="27" xfId="0" applyFont="1" applyFill="1" applyBorder="1" applyAlignment="1" applyProtection="1">
      <alignment horizontal="left" vertical="center"/>
    </xf>
    <xf numFmtId="2" fontId="6" fillId="3" borderId="50" xfId="7" applyNumberFormat="1" applyFont="1" applyFill="1" applyBorder="1" applyAlignment="1" applyProtection="1">
      <alignment horizontal="center" vertical="center"/>
    </xf>
    <xf numFmtId="0" fontId="6" fillId="3" borderId="3" xfId="0" applyFont="1" applyFill="1" applyBorder="1" applyAlignment="1" applyProtection="1">
      <alignment horizontal="center" vertical="center"/>
    </xf>
    <xf numFmtId="2" fontId="6" fillId="3" borderId="59" xfId="7" applyNumberFormat="1" applyFont="1" applyFill="1" applyBorder="1" applyAlignment="1" applyProtection="1">
      <alignment horizontal="center" vertical="center"/>
    </xf>
    <xf numFmtId="2" fontId="0" fillId="3" borderId="25" xfId="0" applyNumberFormat="1" applyFill="1" applyBorder="1" applyAlignment="1" applyProtection="1">
      <alignment horizontal="center" vertical="center"/>
    </xf>
    <xf numFmtId="2" fontId="0" fillId="3" borderId="26" xfId="0" applyNumberFormat="1" applyFill="1" applyBorder="1" applyAlignment="1" applyProtection="1">
      <alignment horizontal="center" vertical="center"/>
    </xf>
    <xf numFmtId="2" fontId="0" fillId="3" borderId="38" xfId="0" applyNumberFormat="1" applyFill="1" applyBorder="1" applyAlignment="1" applyProtection="1">
      <alignment horizontal="center" vertical="center"/>
    </xf>
    <xf numFmtId="0" fontId="0" fillId="0" borderId="22" xfId="0" applyFill="1" applyBorder="1" applyAlignment="1" applyProtection="1">
      <alignment horizontal="right" vertical="center" wrapText="1"/>
    </xf>
    <xf numFmtId="0" fontId="0" fillId="0" borderId="23" xfId="0" applyFill="1" applyBorder="1" applyAlignment="1" applyProtection="1">
      <alignment horizontal="right" vertical="center" wrapText="1"/>
    </xf>
    <xf numFmtId="0" fontId="0" fillId="3" borderId="4" xfId="0" applyFont="1" applyFill="1" applyBorder="1" applyAlignment="1" applyProtection="1">
      <alignment horizontal="right" vertical="center"/>
    </xf>
    <xf numFmtId="0" fontId="0" fillId="3" borderId="5" xfId="0" applyFont="1" applyFill="1" applyBorder="1" applyAlignment="1" applyProtection="1">
      <alignment horizontal="right" vertical="center"/>
    </xf>
    <xf numFmtId="164" fontId="6" fillId="2" borderId="19" xfId="0" applyNumberFormat="1" applyFont="1" applyFill="1" applyBorder="1" applyAlignment="1" applyProtection="1">
      <alignment horizontal="center" vertical="center" wrapText="1"/>
      <protection locked="0"/>
    </xf>
    <xf numFmtId="0" fontId="6" fillId="0" borderId="20" xfId="0" applyFont="1" applyBorder="1" applyAlignment="1">
      <alignment wrapText="1"/>
    </xf>
    <xf numFmtId="0" fontId="6" fillId="0" borderId="21" xfId="0" applyFont="1" applyBorder="1" applyAlignment="1">
      <alignment wrapText="1"/>
    </xf>
    <xf numFmtId="9" fontId="6" fillId="2" borderId="16" xfId="7" applyNumberFormat="1" applyFont="1" applyFill="1" applyBorder="1" applyAlignment="1" applyProtection="1">
      <alignment horizontal="center" vertical="center"/>
      <protection locked="0"/>
    </xf>
    <xf numFmtId="9" fontId="6" fillId="2" borderId="17" xfId="7" applyNumberFormat="1" applyFont="1" applyFill="1" applyBorder="1" applyAlignment="1" applyProtection="1">
      <alignment horizontal="center" vertical="center"/>
      <protection locked="0"/>
    </xf>
    <xf numFmtId="9" fontId="6" fillId="2" borderId="23" xfId="7" applyNumberFormat="1" applyFont="1" applyFill="1" applyBorder="1" applyAlignment="1" applyProtection="1">
      <alignment horizontal="center" vertical="center"/>
      <protection locked="0"/>
    </xf>
    <xf numFmtId="3" fontId="6" fillId="3" borderId="16" xfId="3" applyNumberFormat="1" applyFont="1" applyFill="1" applyBorder="1" applyAlignment="1" applyProtection="1">
      <alignment horizontal="left" vertical="center" wrapText="1"/>
    </xf>
    <xf numFmtId="3" fontId="6" fillId="3" borderId="17" xfId="3" applyNumberFormat="1" applyFont="1" applyFill="1" applyBorder="1" applyAlignment="1" applyProtection="1">
      <alignment horizontal="left" vertical="center" wrapText="1"/>
    </xf>
    <xf numFmtId="3" fontId="6" fillId="3" borderId="18" xfId="3" applyNumberFormat="1" applyFont="1" applyFill="1" applyBorder="1" applyAlignment="1" applyProtection="1">
      <alignment horizontal="left" vertical="center" wrapText="1"/>
    </xf>
    <xf numFmtId="3" fontId="6" fillId="3" borderId="3" xfId="3" applyNumberFormat="1" applyFont="1" applyFill="1" applyBorder="1" applyAlignment="1" applyProtection="1">
      <alignment horizontal="center" vertical="center"/>
    </xf>
    <xf numFmtId="3" fontId="6" fillId="3" borderId="33" xfId="3" applyNumberFormat="1" applyFont="1" applyFill="1" applyBorder="1" applyAlignment="1" applyProtection="1">
      <alignment horizontal="center" vertical="center"/>
    </xf>
    <xf numFmtId="0" fontId="6" fillId="3" borderId="3" xfId="18" applyFont="1" applyFill="1" applyBorder="1" applyAlignment="1" applyProtection="1">
      <alignment horizontal="center" vertical="center" wrapText="1"/>
    </xf>
    <xf numFmtId="0" fontId="6" fillId="4" borderId="6" xfId="0" applyFont="1" applyFill="1" applyBorder="1" applyAlignment="1" applyProtection="1">
      <alignment horizontal="left" vertical="center"/>
    </xf>
    <xf numFmtId="9" fontId="15" fillId="3" borderId="5" xfId="13" applyNumberFormat="1" applyFont="1" applyFill="1" applyBorder="1" applyAlignment="1" applyProtection="1">
      <alignment horizontal="center" vertical="center"/>
    </xf>
    <xf numFmtId="9" fontId="15" fillId="3" borderId="34" xfId="13" applyNumberFormat="1" applyFont="1" applyFill="1" applyBorder="1" applyAlignment="1" applyProtection="1">
      <alignment horizontal="center" vertical="center"/>
    </xf>
    <xf numFmtId="3" fontId="6" fillId="3" borderId="16" xfId="3" applyNumberFormat="1" applyFont="1" applyFill="1" applyBorder="1" applyAlignment="1" applyProtection="1">
      <alignment horizontal="right" vertical="center" wrapText="1"/>
    </xf>
    <xf numFmtId="3" fontId="6" fillId="3" borderId="17" xfId="3" applyNumberFormat="1" applyFont="1" applyFill="1" applyBorder="1" applyAlignment="1" applyProtection="1">
      <alignment horizontal="right" vertical="center" wrapText="1"/>
    </xf>
    <xf numFmtId="0" fontId="6" fillId="3" borderId="16" xfId="18" applyFont="1" applyFill="1" applyBorder="1" applyAlignment="1" applyProtection="1">
      <alignment horizontal="center" vertical="center" wrapText="1"/>
    </xf>
    <xf numFmtId="0" fontId="6" fillId="3" borderId="17" xfId="18" applyFont="1" applyFill="1" applyBorder="1" applyAlignment="1" applyProtection="1">
      <alignment horizontal="center" vertical="center" wrapText="1"/>
    </xf>
    <xf numFmtId="0" fontId="6" fillId="3" borderId="23" xfId="18" applyFont="1" applyFill="1" applyBorder="1" applyAlignment="1" applyProtection="1">
      <alignment horizontal="center" vertical="center" wrapText="1"/>
    </xf>
    <xf numFmtId="3" fontId="6" fillId="3" borderId="60" xfId="0" applyNumberFormat="1" applyFont="1" applyFill="1" applyBorder="1" applyAlignment="1" applyProtection="1">
      <alignment horizontal="center" vertical="center"/>
    </xf>
    <xf numFmtId="3" fontId="6" fillId="3" borderId="59" xfId="0" applyNumberFormat="1" applyFont="1" applyFill="1" applyBorder="1" applyAlignment="1" applyProtection="1">
      <alignment horizontal="center" vertical="center"/>
    </xf>
    <xf numFmtId="3" fontId="6" fillId="3" borderId="61" xfId="0" applyNumberFormat="1" applyFont="1" applyFill="1" applyBorder="1" applyAlignment="1" applyProtection="1">
      <alignment horizontal="center" vertical="center"/>
    </xf>
    <xf numFmtId="3" fontId="6" fillId="3" borderId="62" xfId="0" applyNumberFormat="1" applyFont="1" applyFill="1" applyBorder="1" applyAlignment="1" applyProtection="1">
      <alignment horizontal="center" vertical="center"/>
    </xf>
    <xf numFmtId="3" fontId="6" fillId="3" borderId="0" xfId="0" applyNumberFormat="1" applyFont="1" applyFill="1" applyBorder="1" applyAlignment="1" applyProtection="1">
      <alignment horizontal="center" vertical="center"/>
    </xf>
    <xf numFmtId="3" fontId="6" fillId="3" borderId="63" xfId="0" applyNumberFormat="1" applyFont="1" applyFill="1" applyBorder="1" applyAlignment="1" applyProtection="1">
      <alignment horizontal="center" vertical="center"/>
    </xf>
    <xf numFmtId="3" fontId="6" fillId="3" borderId="64" xfId="0" applyNumberFormat="1" applyFont="1" applyFill="1" applyBorder="1" applyAlignment="1" applyProtection="1">
      <alignment horizontal="center" vertical="center"/>
    </xf>
    <xf numFmtId="3" fontId="6" fillId="3" borderId="37" xfId="0" applyNumberFormat="1" applyFont="1" applyFill="1" applyBorder="1" applyAlignment="1" applyProtection="1">
      <alignment horizontal="center" vertical="center"/>
    </xf>
    <xf numFmtId="3" fontId="6" fillId="3" borderId="65" xfId="0" applyNumberFormat="1" applyFont="1" applyFill="1" applyBorder="1" applyAlignment="1" applyProtection="1">
      <alignment horizontal="center" vertical="center"/>
    </xf>
    <xf numFmtId="0" fontId="3" fillId="0" borderId="22" xfId="0" applyFont="1" applyFill="1" applyBorder="1" applyAlignment="1" applyProtection="1">
      <alignment horizontal="right" vertical="center"/>
    </xf>
    <xf numFmtId="0" fontId="3" fillId="0" borderId="23" xfId="0" applyFont="1" applyFill="1" applyBorder="1" applyAlignment="1" applyProtection="1">
      <alignment horizontal="right" vertical="center"/>
    </xf>
    <xf numFmtId="4" fontId="3" fillId="0" borderId="16" xfId="0" applyNumberFormat="1" applyFont="1" applyFill="1" applyBorder="1" applyAlignment="1" applyProtection="1">
      <alignment horizontal="center" vertical="center"/>
    </xf>
    <xf numFmtId="4" fontId="3" fillId="0" borderId="17" xfId="0" applyNumberFormat="1" applyFont="1" applyFill="1" applyBorder="1" applyAlignment="1" applyProtection="1">
      <alignment horizontal="center" vertical="center"/>
    </xf>
    <xf numFmtId="4" fontId="3" fillId="0" borderId="18" xfId="0" applyNumberFormat="1" applyFont="1" applyFill="1" applyBorder="1" applyAlignment="1" applyProtection="1">
      <alignment horizontal="center" vertical="center"/>
    </xf>
    <xf numFmtId="2" fontId="6" fillId="2" borderId="16" xfId="18" applyNumberFormat="1" applyFont="1" applyFill="1" applyBorder="1" applyAlignment="1" applyProtection="1">
      <alignment horizontal="center" vertical="center" wrapText="1"/>
      <protection locked="0"/>
    </xf>
    <xf numFmtId="2" fontId="6" fillId="2" borderId="17" xfId="18" applyNumberFormat="1" applyFont="1" applyFill="1" applyBorder="1" applyAlignment="1" applyProtection="1">
      <alignment horizontal="center" vertical="center" wrapText="1"/>
      <protection locked="0"/>
    </xf>
    <xf numFmtId="2" fontId="6" fillId="2" borderId="18" xfId="18" applyNumberFormat="1" applyFont="1" applyFill="1" applyBorder="1" applyAlignment="1" applyProtection="1">
      <alignment horizontal="center" vertical="center" wrapText="1"/>
      <protection locked="0"/>
    </xf>
    <xf numFmtId="3" fontId="0" fillId="2" borderId="60" xfId="0" applyNumberFormat="1" applyFill="1" applyBorder="1" applyAlignment="1" applyProtection="1">
      <alignment horizontal="center" vertical="center"/>
      <protection locked="0"/>
    </xf>
    <xf numFmtId="3" fontId="0" fillId="2" borderId="59" xfId="0" applyNumberFormat="1" applyFill="1" applyBorder="1" applyAlignment="1" applyProtection="1">
      <alignment horizontal="center" vertical="center"/>
      <protection locked="0"/>
    </xf>
    <xf numFmtId="3" fontId="0" fillId="2" borderId="61" xfId="0" applyNumberFormat="1" applyFill="1" applyBorder="1" applyAlignment="1" applyProtection="1">
      <alignment horizontal="center" vertical="center"/>
      <protection locked="0"/>
    </xf>
    <xf numFmtId="3" fontId="0" fillId="2" borderId="62" xfId="0" applyNumberFormat="1" applyFill="1" applyBorder="1" applyAlignment="1" applyProtection="1">
      <alignment horizontal="center" vertical="center"/>
      <protection locked="0"/>
    </xf>
    <xf numFmtId="3" fontId="0" fillId="2" borderId="0" xfId="0" applyNumberFormat="1" applyFill="1" applyBorder="1" applyAlignment="1" applyProtection="1">
      <alignment horizontal="center" vertical="center"/>
      <protection locked="0"/>
    </xf>
    <xf numFmtId="3" fontId="0" fillId="2" borderId="63" xfId="0" applyNumberFormat="1" applyFill="1" applyBorder="1" applyAlignment="1" applyProtection="1">
      <alignment horizontal="center" vertical="center"/>
      <protection locked="0"/>
    </xf>
    <xf numFmtId="3" fontId="0" fillId="2" borderId="64" xfId="0" applyNumberFormat="1" applyFill="1" applyBorder="1" applyAlignment="1" applyProtection="1">
      <alignment horizontal="center" vertical="center"/>
      <protection locked="0"/>
    </xf>
    <xf numFmtId="3" fontId="0" fillId="2" borderId="37" xfId="0" applyNumberFormat="1" applyFill="1" applyBorder="1" applyAlignment="1" applyProtection="1">
      <alignment horizontal="center" vertical="center"/>
      <protection locked="0"/>
    </xf>
    <xf numFmtId="3" fontId="0" fillId="2" borderId="65" xfId="0" applyNumberFormat="1" applyFill="1" applyBorder="1" applyAlignment="1" applyProtection="1">
      <alignment horizontal="center" vertical="center"/>
      <protection locked="0"/>
    </xf>
    <xf numFmtId="0" fontId="0" fillId="3" borderId="2" xfId="0" applyFont="1" applyFill="1" applyBorder="1" applyAlignment="1" applyProtection="1">
      <alignment horizontal="right" vertical="center"/>
    </xf>
    <xf numFmtId="4" fontId="0" fillId="3" borderId="3" xfId="0" applyNumberFormat="1" applyFont="1" applyFill="1" applyBorder="1" applyAlignment="1" applyProtection="1">
      <alignment horizontal="center" vertical="center"/>
    </xf>
    <xf numFmtId="4" fontId="0" fillId="3" borderId="33" xfId="0" applyNumberFormat="1" applyFont="1" applyFill="1" applyBorder="1" applyAlignment="1" applyProtection="1">
      <alignment horizontal="center" vertical="center"/>
    </xf>
    <xf numFmtId="3" fontId="6" fillId="3" borderId="3" xfId="0" applyNumberFormat="1" applyFont="1" applyFill="1" applyBorder="1" applyAlignment="1" applyProtection="1">
      <alignment horizontal="center" vertical="center"/>
    </xf>
    <xf numFmtId="3" fontId="6" fillId="3" borderId="33" xfId="0" applyNumberFormat="1" applyFont="1" applyFill="1" applyBorder="1" applyAlignment="1" applyProtection="1">
      <alignment horizontal="center" vertical="center"/>
    </xf>
    <xf numFmtId="4" fontId="6" fillId="3" borderId="3" xfId="0" applyNumberFormat="1" applyFont="1" applyFill="1" applyBorder="1" applyAlignment="1" applyProtection="1">
      <alignment horizontal="center" vertical="center"/>
    </xf>
    <xf numFmtId="4" fontId="6" fillId="3" borderId="33" xfId="0" applyNumberFormat="1" applyFont="1" applyFill="1" applyBorder="1" applyAlignment="1" applyProtection="1">
      <alignment horizontal="center" vertical="center"/>
    </xf>
    <xf numFmtId="3" fontId="0" fillId="3" borderId="3" xfId="0" applyNumberFormat="1" applyFont="1" applyFill="1" applyBorder="1" applyAlignment="1" applyProtection="1">
      <alignment horizontal="center" vertical="center"/>
    </xf>
    <xf numFmtId="3" fontId="0" fillId="3" borderId="33" xfId="0" applyNumberFormat="1" applyFont="1" applyFill="1" applyBorder="1" applyAlignment="1" applyProtection="1">
      <alignment horizontal="center" vertical="center"/>
    </xf>
    <xf numFmtId="3" fontId="49" fillId="6" borderId="16" xfId="0" applyNumberFormat="1" applyFont="1" applyFill="1" applyBorder="1" applyAlignment="1" applyProtection="1">
      <alignment horizontal="center" vertical="center" wrapText="1"/>
    </xf>
    <xf numFmtId="3" fontId="49" fillId="6" borderId="17" xfId="0" applyNumberFormat="1" applyFont="1" applyFill="1" applyBorder="1" applyAlignment="1" applyProtection="1">
      <alignment horizontal="center" vertical="center" wrapText="1"/>
    </xf>
    <xf numFmtId="3" fontId="49" fillId="6" borderId="18" xfId="0" applyNumberFormat="1" applyFont="1" applyFill="1" applyBorder="1" applyAlignment="1" applyProtection="1">
      <alignment horizontal="center" vertical="center" wrapText="1"/>
    </xf>
    <xf numFmtId="2" fontId="4" fillId="4" borderId="30" xfId="3" applyFont="1" applyFill="1" applyBorder="1" applyAlignment="1" applyProtection="1">
      <alignment horizontal="left" vertical="center"/>
    </xf>
    <xf numFmtId="2" fontId="4" fillId="4" borderId="31" xfId="3" applyFont="1" applyFill="1" applyBorder="1" applyAlignment="1" applyProtection="1">
      <alignment horizontal="left" vertical="center"/>
    </xf>
    <xf numFmtId="2" fontId="4" fillId="4" borderId="32" xfId="3" applyFont="1" applyFill="1" applyBorder="1" applyAlignment="1" applyProtection="1">
      <alignment horizontal="left" vertical="center"/>
    </xf>
    <xf numFmtId="2" fontId="7" fillId="4" borderId="2" xfId="3" applyFont="1" applyFill="1" applyBorder="1" applyAlignment="1" applyProtection="1">
      <alignment horizontal="left" vertical="center"/>
    </xf>
    <xf numFmtId="2" fontId="7" fillId="4" borderId="3" xfId="3" applyFont="1" applyFill="1" applyBorder="1" applyAlignment="1" applyProtection="1">
      <alignment horizontal="left" vertical="center"/>
    </xf>
    <xf numFmtId="2" fontId="7" fillId="4" borderId="33" xfId="3" applyFont="1" applyFill="1" applyBorder="1" applyAlignment="1" applyProtection="1">
      <alignment horizontal="left" vertical="center"/>
    </xf>
    <xf numFmtId="2" fontId="6" fillId="3" borderId="3" xfId="3" applyFont="1" applyFill="1" applyBorder="1" applyAlignment="1" applyProtection="1">
      <alignment horizontal="center" vertical="center"/>
    </xf>
    <xf numFmtId="2" fontId="6" fillId="3" borderId="33" xfId="3" applyFont="1" applyFill="1" applyBorder="1" applyAlignment="1" applyProtection="1">
      <alignment horizontal="center" vertical="center"/>
    </xf>
    <xf numFmtId="0" fontId="3" fillId="3" borderId="2" xfId="0" applyFont="1" applyFill="1" applyBorder="1" applyAlignment="1" applyProtection="1">
      <alignment horizontal="right" vertical="center" wrapText="1"/>
    </xf>
    <xf numFmtId="0" fontId="3" fillId="3" borderId="3" xfId="0" applyFont="1" applyFill="1" applyBorder="1" applyAlignment="1" applyProtection="1">
      <alignment horizontal="right" vertical="center" wrapText="1"/>
    </xf>
    <xf numFmtId="0" fontId="0" fillId="3" borderId="2" xfId="0" applyFill="1" applyBorder="1" applyAlignment="1" applyProtection="1">
      <alignment horizontal="left" vertical="center"/>
    </xf>
    <xf numFmtId="0" fontId="0" fillId="3" borderId="3" xfId="0" applyFill="1" applyBorder="1" applyAlignment="1" applyProtection="1">
      <alignment horizontal="left" vertical="center"/>
    </xf>
    <xf numFmtId="0" fontId="7" fillId="3" borderId="3" xfId="5" applyFont="1" applyFill="1" applyBorder="1" applyAlignment="1" applyProtection="1">
      <alignment horizontal="center" vertical="center" wrapText="1"/>
    </xf>
    <xf numFmtId="9" fontId="15" fillId="3" borderId="3" xfId="13" applyNumberFormat="1" applyFont="1" applyFill="1" applyBorder="1" applyAlignment="1" applyProtection="1">
      <alignment horizontal="center" vertical="center"/>
    </xf>
    <xf numFmtId="9" fontId="15" fillId="3" borderId="33" xfId="13" applyNumberFormat="1" applyFont="1" applyFill="1" applyBorder="1" applyAlignment="1" applyProtection="1">
      <alignment horizontal="center" vertical="center"/>
    </xf>
    <xf numFmtId="0" fontId="34" fillId="3" borderId="3" xfId="15" applyFont="1" applyFill="1" applyBorder="1" applyAlignment="1" applyProtection="1">
      <alignment horizontal="center" vertical="center"/>
    </xf>
    <xf numFmtId="0" fontId="49" fillId="6" borderId="22" xfId="0" applyFont="1" applyFill="1" applyBorder="1" applyAlignment="1" applyProtection="1">
      <alignment horizontal="right" vertical="center" wrapText="1"/>
    </xf>
    <xf numFmtId="0" fontId="49" fillId="6" borderId="23" xfId="0" applyFont="1" applyFill="1" applyBorder="1" applyAlignment="1" applyProtection="1">
      <alignment horizontal="right" vertical="center" wrapText="1"/>
    </xf>
    <xf numFmtId="0" fontId="3" fillId="4" borderId="22" xfId="0" applyFont="1" applyFill="1" applyBorder="1" applyAlignment="1" applyProtection="1">
      <alignment horizontal="left" vertical="center" wrapText="1"/>
    </xf>
    <xf numFmtId="0" fontId="3" fillId="4" borderId="17" xfId="0" applyFont="1" applyFill="1" applyBorder="1" applyAlignment="1" applyProtection="1">
      <alignment horizontal="left" vertical="center" wrapText="1"/>
    </xf>
    <xf numFmtId="0" fontId="3" fillId="4" borderId="18" xfId="0" applyFont="1" applyFill="1" applyBorder="1" applyAlignment="1" applyProtection="1">
      <alignment horizontal="left" vertical="center" wrapText="1"/>
    </xf>
    <xf numFmtId="164" fontId="6" fillId="2" borderId="16" xfId="0" applyNumberFormat="1" applyFont="1" applyFill="1" applyBorder="1" applyAlignment="1" applyProtection="1">
      <alignment horizontal="center" vertical="center" wrapText="1"/>
      <protection locked="0"/>
    </xf>
    <xf numFmtId="0" fontId="6" fillId="0" borderId="17" xfId="0" applyFont="1" applyBorder="1" applyAlignment="1">
      <alignment wrapText="1"/>
    </xf>
    <xf numFmtId="0" fontId="6" fillId="0" borderId="18" xfId="0" applyFont="1" applyBorder="1" applyAlignment="1">
      <alignment wrapText="1"/>
    </xf>
    <xf numFmtId="0" fontId="0" fillId="3" borderId="22" xfId="0" applyFont="1" applyFill="1" applyBorder="1" applyAlignment="1" applyProtection="1">
      <alignment horizontal="right" vertical="center"/>
    </xf>
    <xf numFmtId="0" fontId="0" fillId="3" borderId="23" xfId="0" applyFont="1" applyFill="1" applyBorder="1" applyAlignment="1" applyProtection="1">
      <alignment horizontal="right" vertical="center"/>
    </xf>
    <xf numFmtId="0" fontId="7" fillId="3" borderId="25" xfId="0" applyNumberFormat="1" applyFont="1" applyFill="1" applyBorder="1" applyAlignment="1" applyProtection="1">
      <alignment horizontal="center"/>
    </xf>
    <xf numFmtId="0" fontId="7" fillId="3" borderId="26" xfId="0" applyNumberFormat="1" applyFont="1" applyFill="1" applyBorder="1" applyAlignment="1" applyProtection="1">
      <alignment horizontal="center"/>
    </xf>
    <xf numFmtId="0" fontId="7" fillId="3" borderId="38" xfId="0" applyNumberFormat="1" applyFont="1" applyFill="1" applyBorder="1" applyAlignment="1" applyProtection="1">
      <alignment horizontal="center"/>
    </xf>
    <xf numFmtId="0" fontId="0" fillId="3" borderId="22" xfId="0" applyFill="1" applyBorder="1" applyAlignment="1" applyProtection="1">
      <alignment horizontal="right" vertical="center"/>
    </xf>
    <xf numFmtId="0" fontId="0" fillId="3" borderId="23" xfId="0" applyFill="1" applyBorder="1" applyAlignment="1" applyProtection="1">
      <alignment horizontal="right" vertical="center"/>
    </xf>
    <xf numFmtId="3" fontId="0" fillId="3" borderId="16" xfId="0" applyNumberFormat="1" applyFont="1" applyFill="1" applyBorder="1" applyAlignment="1" applyProtection="1">
      <alignment horizontal="center" vertical="center"/>
    </xf>
    <xf numFmtId="3" fontId="0" fillId="3" borderId="17" xfId="0" applyNumberFormat="1" applyFont="1" applyFill="1" applyBorder="1" applyAlignment="1" applyProtection="1">
      <alignment horizontal="center" vertical="center"/>
    </xf>
    <xf numFmtId="3" fontId="0" fillId="3" borderId="18" xfId="0" applyNumberFormat="1" applyFont="1" applyFill="1" applyBorder="1" applyAlignment="1" applyProtection="1">
      <alignment horizontal="center" vertical="center"/>
    </xf>
    <xf numFmtId="0" fontId="7" fillId="3" borderId="33" xfId="5" applyFont="1" applyFill="1" applyBorder="1" applyAlignment="1" applyProtection="1">
      <alignment horizontal="center" vertical="center" wrapText="1"/>
    </xf>
    <xf numFmtId="0" fontId="8" fillId="4" borderId="22" xfId="0" applyFont="1" applyFill="1" applyBorder="1" applyAlignment="1" applyProtection="1">
      <alignment horizontal="center" vertical="center"/>
    </xf>
    <xf numFmtId="0" fontId="8" fillId="4" borderId="17" xfId="0" applyFont="1" applyFill="1" applyBorder="1" applyAlignment="1" applyProtection="1">
      <alignment horizontal="center" vertical="center"/>
    </xf>
    <xf numFmtId="0" fontId="8" fillId="4" borderId="18" xfId="0" applyFont="1" applyFill="1" applyBorder="1" applyAlignment="1" applyProtection="1">
      <alignment horizontal="center" vertical="center"/>
    </xf>
    <xf numFmtId="0" fontId="0" fillId="4" borderId="6" xfId="0" applyFill="1" applyBorder="1" applyAlignment="1" applyProtection="1">
      <alignment horizontal="left" vertical="top" wrapText="1"/>
    </xf>
    <xf numFmtId="3" fontId="2" fillId="2" borderId="60" xfId="0" applyNumberFormat="1" applyFont="1" applyFill="1" applyBorder="1" applyAlignment="1" applyProtection="1">
      <alignment horizontal="center" vertical="center" wrapText="1"/>
      <protection locked="0"/>
    </xf>
    <xf numFmtId="3" fontId="2" fillId="2" borderId="59" xfId="0" applyNumberFormat="1" applyFont="1" applyFill="1" applyBorder="1" applyAlignment="1" applyProtection="1">
      <alignment horizontal="center" vertical="center" wrapText="1"/>
      <protection locked="0"/>
    </xf>
    <xf numFmtId="3" fontId="2" fillId="2" borderId="61" xfId="0" applyNumberFormat="1" applyFont="1" applyFill="1" applyBorder="1" applyAlignment="1" applyProtection="1">
      <alignment horizontal="center" vertical="center" wrapText="1"/>
      <protection locked="0"/>
    </xf>
    <xf numFmtId="3" fontId="2" fillId="2" borderId="62" xfId="0" applyNumberFormat="1" applyFont="1" applyFill="1" applyBorder="1" applyAlignment="1" applyProtection="1">
      <alignment horizontal="center" vertical="center" wrapText="1"/>
      <protection locked="0"/>
    </xf>
    <xf numFmtId="3" fontId="2" fillId="2" borderId="0" xfId="0" applyNumberFormat="1" applyFont="1" applyFill="1" applyBorder="1" applyAlignment="1" applyProtection="1">
      <alignment horizontal="center" vertical="center" wrapText="1"/>
      <protection locked="0"/>
    </xf>
    <xf numFmtId="3" fontId="2" fillId="2" borderId="63" xfId="0" applyNumberFormat="1" applyFont="1" applyFill="1" applyBorder="1" applyAlignment="1" applyProtection="1">
      <alignment horizontal="center" vertical="center" wrapText="1"/>
      <protection locked="0"/>
    </xf>
    <xf numFmtId="3" fontId="2" fillId="2" borderId="64" xfId="0" applyNumberFormat="1" applyFont="1" applyFill="1" applyBorder="1" applyAlignment="1" applyProtection="1">
      <alignment horizontal="center" vertical="center" wrapText="1"/>
      <protection locked="0"/>
    </xf>
    <xf numFmtId="3" fontId="2" fillId="2" borderId="37" xfId="0" applyNumberFormat="1" applyFont="1" applyFill="1" applyBorder="1" applyAlignment="1" applyProtection="1">
      <alignment horizontal="center" vertical="center" wrapText="1"/>
      <protection locked="0"/>
    </xf>
    <xf numFmtId="3" fontId="2" fillId="2" borderId="65" xfId="0" applyNumberFormat="1" applyFont="1" applyFill="1" applyBorder="1" applyAlignment="1" applyProtection="1">
      <alignment horizontal="center" vertical="center" wrapText="1"/>
      <protection locked="0"/>
    </xf>
    <xf numFmtId="3" fontId="6" fillId="2" borderId="16" xfId="18" applyNumberFormat="1" applyFont="1" applyFill="1" applyBorder="1" applyAlignment="1" applyProtection="1">
      <alignment horizontal="center" vertical="center" wrapText="1"/>
      <protection locked="0"/>
    </xf>
    <xf numFmtId="3" fontId="6" fillId="2" borderId="17" xfId="18" applyNumberFormat="1" applyFont="1" applyFill="1" applyBorder="1" applyAlignment="1" applyProtection="1">
      <alignment horizontal="center" vertical="center" wrapText="1"/>
      <protection locked="0"/>
    </xf>
    <xf numFmtId="3" fontId="6" fillId="2" borderId="18" xfId="18" applyNumberFormat="1" applyFont="1" applyFill="1" applyBorder="1" applyAlignment="1" applyProtection="1">
      <alignment horizontal="center" vertical="center" wrapText="1"/>
      <protection locked="0"/>
    </xf>
    <xf numFmtId="0" fontId="0" fillId="4" borderId="6" xfId="0" applyFill="1" applyBorder="1" applyAlignment="1" applyProtection="1">
      <alignment vertical="center" wrapText="1"/>
    </xf>
    <xf numFmtId="2" fontId="4" fillId="4" borderId="30" xfId="3" applyFont="1" applyFill="1" applyBorder="1" applyAlignment="1" applyProtection="1">
      <alignment horizontal="center" vertical="center"/>
    </xf>
    <xf numFmtId="2" fontId="4" fillId="4" borderId="31" xfId="3" applyFont="1" applyFill="1" applyBorder="1" applyAlignment="1" applyProtection="1">
      <alignment horizontal="center" vertical="center"/>
    </xf>
    <xf numFmtId="2" fontId="4" fillId="4" borderId="110" xfId="3" applyFont="1" applyFill="1" applyBorder="1" applyAlignment="1" applyProtection="1">
      <alignment horizontal="center" vertical="center"/>
    </xf>
    <xf numFmtId="2" fontId="4" fillId="4" borderId="32" xfId="3" applyFont="1" applyFill="1" applyBorder="1" applyAlignment="1" applyProtection="1">
      <alignment horizontal="center" vertical="center"/>
    </xf>
    <xf numFmtId="2" fontId="4" fillId="4" borderId="111" xfId="3" applyFont="1" applyFill="1" applyBorder="1" applyAlignment="1" applyProtection="1">
      <alignment horizontal="left" vertical="center"/>
    </xf>
    <xf numFmtId="2" fontId="4" fillId="4" borderId="59" xfId="3" applyFont="1" applyFill="1" applyBorder="1" applyAlignment="1" applyProtection="1">
      <alignment horizontal="left" vertical="center"/>
    </xf>
    <xf numFmtId="2" fontId="4" fillId="4" borderId="112" xfId="3" applyFont="1" applyFill="1" applyBorder="1" applyAlignment="1" applyProtection="1">
      <alignment horizontal="left" vertical="center"/>
    </xf>
    <xf numFmtId="0" fontId="3" fillId="4" borderId="113" xfId="0" applyFont="1" applyFill="1" applyBorder="1" applyAlignment="1" applyProtection="1">
      <alignment horizontal="center" vertical="center"/>
    </xf>
    <xf numFmtId="0" fontId="3" fillId="4" borderId="94" xfId="0" applyFont="1" applyFill="1" applyBorder="1" applyAlignment="1" applyProtection="1">
      <alignment horizontal="center" vertical="center"/>
    </xf>
    <xf numFmtId="0" fontId="3" fillId="4" borderId="114" xfId="0" applyFont="1" applyFill="1" applyBorder="1" applyAlignment="1" applyProtection="1">
      <alignment horizontal="center" vertical="center"/>
    </xf>
    <xf numFmtId="2" fontId="7" fillId="3" borderId="5" xfId="1" applyNumberFormat="1" applyFont="1" applyFill="1" applyBorder="1" applyAlignment="1" applyProtection="1">
      <alignment horizontal="center" vertical="center"/>
    </xf>
    <xf numFmtId="2" fontId="7" fillId="3" borderId="34" xfId="1" applyNumberFormat="1" applyFont="1" applyFill="1" applyBorder="1" applyAlignment="1" applyProtection="1">
      <alignment horizontal="center" vertical="center"/>
    </xf>
    <xf numFmtId="0" fontId="5" fillId="3" borderId="0" xfId="8" applyFill="1" applyBorder="1" applyAlignment="1" applyProtection="1">
      <alignment horizontal="center"/>
    </xf>
    <xf numFmtId="2" fontId="6" fillId="3" borderId="3" xfId="1" applyNumberFormat="1" applyFont="1" applyFill="1" applyBorder="1" applyAlignment="1" applyProtection="1">
      <alignment horizontal="center" vertical="center"/>
    </xf>
    <xf numFmtId="2" fontId="6" fillId="3" borderId="33" xfId="1" applyNumberFormat="1" applyFont="1" applyFill="1" applyBorder="1" applyAlignment="1" applyProtection="1">
      <alignment horizontal="center" vertical="center"/>
    </xf>
    <xf numFmtId="0" fontId="0" fillId="4" borderId="48" xfId="0" applyFill="1" applyBorder="1" applyAlignment="1" applyProtection="1">
      <alignment horizontal="left" vertical="center" wrapText="1"/>
    </xf>
    <xf numFmtId="0" fontId="0" fillId="4" borderId="0" xfId="0" applyFill="1" applyBorder="1" applyAlignment="1" applyProtection="1">
      <alignment horizontal="left" vertical="center" wrapText="1"/>
    </xf>
    <xf numFmtId="0" fontId="3" fillId="4" borderId="115" xfId="0" applyFont="1" applyFill="1" applyBorder="1" applyAlignment="1" applyProtection="1">
      <alignment horizontal="center" vertical="center"/>
    </xf>
    <xf numFmtId="0" fontId="3" fillId="4" borderId="99" xfId="0" applyFont="1" applyFill="1" applyBorder="1" applyAlignment="1" applyProtection="1">
      <alignment horizontal="center" vertical="center"/>
    </xf>
    <xf numFmtId="0" fontId="3" fillId="4" borderId="116" xfId="0" applyFont="1" applyFill="1" applyBorder="1" applyAlignment="1" applyProtection="1">
      <alignment horizontal="center" vertical="center"/>
    </xf>
    <xf numFmtId="0" fontId="6" fillId="4" borderId="0" xfId="0" applyFont="1" applyFill="1" applyBorder="1" applyAlignment="1" applyProtection="1">
      <alignment horizontal="left" vertical="center" wrapText="1"/>
    </xf>
    <xf numFmtId="0" fontId="0" fillId="3" borderId="19" xfId="0" applyFill="1" applyBorder="1" applyAlignment="1" applyProtection="1">
      <alignment horizontal="left" vertical="center"/>
    </xf>
    <xf numFmtId="0" fontId="0" fillId="3" borderId="20" xfId="0" applyFill="1" applyBorder="1" applyAlignment="1" applyProtection="1">
      <alignment horizontal="left" vertical="center"/>
    </xf>
    <xf numFmtId="0" fontId="0" fillId="3" borderId="21" xfId="0" applyFill="1" applyBorder="1" applyAlignment="1" applyProtection="1">
      <alignment horizontal="left" vertical="center"/>
    </xf>
    <xf numFmtId="0" fontId="0" fillId="3" borderId="16" xfId="0" applyFill="1" applyBorder="1" applyAlignment="1" applyProtection="1">
      <alignment vertical="center"/>
    </xf>
    <xf numFmtId="0" fontId="0" fillId="3" borderId="17" xfId="0" applyFill="1" applyBorder="1" applyAlignment="1" applyProtection="1">
      <alignment vertical="center"/>
    </xf>
    <xf numFmtId="0" fontId="0" fillId="3" borderId="18" xfId="0" applyFill="1" applyBorder="1" applyAlignment="1" applyProtection="1">
      <alignment vertical="center"/>
    </xf>
    <xf numFmtId="0" fontId="0" fillId="3" borderId="19" xfId="0" applyFill="1" applyBorder="1" applyAlignment="1" applyProtection="1">
      <alignment vertical="center"/>
    </xf>
    <xf numFmtId="0" fontId="0" fillId="3" borderId="20" xfId="0" applyFill="1" applyBorder="1" applyAlignment="1" applyProtection="1">
      <alignment vertical="center"/>
    </xf>
    <xf numFmtId="0" fontId="0" fillId="3" borderId="21" xfId="0" applyFill="1" applyBorder="1" applyAlignment="1" applyProtection="1">
      <alignment vertical="center"/>
    </xf>
    <xf numFmtId="1" fontId="6" fillId="3" borderId="5" xfId="1" applyNumberFormat="1" applyFont="1" applyFill="1" applyBorder="1" applyAlignment="1" applyProtection="1">
      <alignment horizontal="center" vertical="center"/>
    </xf>
    <xf numFmtId="1" fontId="6" fillId="3" borderId="34" xfId="1" applyNumberFormat="1" applyFont="1" applyFill="1" applyBorder="1" applyAlignment="1" applyProtection="1">
      <alignment horizontal="center" vertical="center"/>
    </xf>
    <xf numFmtId="0" fontId="0" fillId="4" borderId="25" xfId="0" applyFill="1" applyBorder="1" applyAlignment="1" applyProtection="1">
      <alignment horizontal="center" vertical="center" wrapText="1"/>
    </xf>
    <xf numFmtId="0" fontId="0" fillId="4" borderId="26" xfId="0" applyFill="1" applyBorder="1" applyAlignment="1" applyProtection="1">
      <alignment horizontal="center" vertical="center"/>
    </xf>
    <xf numFmtId="0" fontId="0" fillId="4" borderId="38" xfId="0" applyFill="1" applyBorder="1" applyAlignment="1" applyProtection="1">
      <alignment horizontal="center" vertical="center"/>
    </xf>
    <xf numFmtId="0" fontId="0" fillId="3" borderId="16" xfId="0" applyFill="1" applyBorder="1" applyAlignment="1" applyProtection="1">
      <alignment horizontal="left" vertical="center"/>
    </xf>
    <xf numFmtId="0" fontId="0" fillId="3" borderId="17" xfId="0" applyFill="1" applyBorder="1" applyAlignment="1" applyProtection="1">
      <alignment horizontal="left" vertical="center"/>
    </xf>
    <xf numFmtId="0" fontId="0" fillId="3" borderId="18" xfId="0" applyFill="1" applyBorder="1" applyAlignment="1" applyProtection="1">
      <alignment horizontal="left" vertical="center"/>
    </xf>
    <xf numFmtId="0" fontId="0" fillId="3" borderId="16" xfId="0" applyNumberFormat="1" applyFill="1" applyBorder="1" applyAlignment="1" applyProtection="1">
      <alignment horizontal="left" vertical="center"/>
    </xf>
    <xf numFmtId="0" fontId="0" fillId="3" borderId="17" xfId="0" applyNumberFormat="1" applyFill="1" applyBorder="1" applyAlignment="1" applyProtection="1">
      <alignment horizontal="left" vertical="center"/>
    </xf>
    <xf numFmtId="0" fontId="0" fillId="3" borderId="18" xfId="0" applyNumberFormat="1" applyFill="1" applyBorder="1" applyAlignment="1" applyProtection="1">
      <alignment horizontal="left" vertical="center"/>
    </xf>
    <xf numFmtId="0" fontId="0" fillId="4" borderId="7" xfId="0" applyFill="1" applyBorder="1" applyAlignment="1" applyProtection="1">
      <alignment horizontal="left" vertical="center" wrapText="1"/>
    </xf>
    <xf numFmtId="0" fontId="0" fillId="4" borderId="8" xfId="0" applyFill="1" applyBorder="1" applyAlignment="1" applyProtection="1">
      <alignment horizontal="left" vertical="center"/>
    </xf>
    <xf numFmtId="0" fontId="0" fillId="4" borderId="9" xfId="0" applyFill="1" applyBorder="1" applyAlignment="1" applyProtection="1">
      <alignment horizontal="left" vertical="center"/>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0" fillId="2" borderId="33" xfId="0" applyFill="1" applyBorder="1" applyAlignment="1" applyProtection="1">
      <alignment horizontal="left" vertical="center" wrapText="1"/>
      <protection locked="0"/>
    </xf>
    <xf numFmtId="0" fontId="0" fillId="4" borderId="7" xfId="0" applyFill="1" applyBorder="1" applyAlignment="1" applyProtection="1">
      <alignment vertical="center" wrapText="1"/>
    </xf>
    <xf numFmtId="0" fontId="0" fillId="4" borderId="8" xfId="0" applyFill="1" applyBorder="1" applyAlignment="1" applyProtection="1">
      <alignment vertical="center"/>
    </xf>
    <xf numFmtId="0" fontId="0" fillId="4" borderId="9" xfId="0" applyFill="1" applyBorder="1" applyAlignment="1" applyProtection="1">
      <alignment vertical="center"/>
    </xf>
    <xf numFmtId="0" fontId="0" fillId="3" borderId="6" xfId="0" applyFill="1" applyBorder="1" applyAlignment="1" applyProtection="1">
      <alignment horizontal="left" vertical="center" wrapText="1"/>
    </xf>
    <xf numFmtId="2" fontId="4" fillId="4" borderId="22" xfId="3" applyFont="1" applyFill="1" applyBorder="1" applyAlignment="1" applyProtection="1">
      <alignment horizontal="left" vertical="center"/>
    </xf>
    <xf numFmtId="2" fontId="4" fillId="4" borderId="17" xfId="3" applyFont="1" applyFill="1" applyBorder="1" applyAlignment="1" applyProtection="1">
      <alignment horizontal="left" vertical="center"/>
    </xf>
    <xf numFmtId="2" fontId="4" fillId="4" borderId="18" xfId="3" applyFont="1" applyFill="1" applyBorder="1" applyAlignment="1" applyProtection="1">
      <alignment horizontal="left" vertical="center"/>
    </xf>
    <xf numFmtId="2" fontId="4" fillId="4" borderId="25" xfId="3" applyFont="1" applyFill="1" applyBorder="1" applyAlignment="1" applyProtection="1">
      <alignment horizontal="left" vertical="center"/>
    </xf>
    <xf numFmtId="2" fontId="4" fillId="4" borderId="26" xfId="3" applyFont="1" applyFill="1" applyBorder="1" applyAlignment="1" applyProtection="1">
      <alignment horizontal="left" vertical="center"/>
    </xf>
    <xf numFmtId="2" fontId="4" fillId="4" borderId="38" xfId="3" applyFont="1" applyFill="1" applyBorder="1" applyAlignment="1" applyProtection="1">
      <alignment horizontal="left" vertical="center"/>
    </xf>
    <xf numFmtId="0" fontId="38" fillId="3" borderId="8" xfId="0" applyFont="1" applyFill="1" applyBorder="1" applyAlignment="1">
      <alignment horizontal="left" vertical="center" wrapText="1"/>
    </xf>
    <xf numFmtId="0" fontId="38" fillId="3" borderId="12" xfId="0" applyFont="1" applyFill="1" applyBorder="1" applyAlignment="1">
      <alignment horizontal="left" vertical="center" wrapText="1"/>
    </xf>
    <xf numFmtId="0" fontId="15" fillId="4" borderId="22" xfId="13" applyFont="1" applyFill="1" applyBorder="1" applyAlignment="1" applyProtection="1">
      <alignment horizontal="left" vertical="center" wrapText="1"/>
    </xf>
    <xf numFmtId="0" fontId="15" fillId="4" borderId="23" xfId="13" applyFont="1" applyFill="1" applyBorder="1" applyAlignment="1" applyProtection="1">
      <alignment horizontal="left" vertical="center" wrapText="1"/>
    </xf>
    <xf numFmtId="0" fontId="0" fillId="3" borderId="11" xfId="0" applyFill="1" applyBorder="1" applyAlignment="1">
      <alignment horizontal="center"/>
    </xf>
    <xf numFmtId="0" fontId="0" fillId="3" borderId="12" xfId="0" applyFill="1" applyBorder="1" applyAlignment="1">
      <alignment horizontal="center"/>
    </xf>
    <xf numFmtId="0" fontId="0" fillId="3" borderId="13" xfId="0" applyFill="1" applyBorder="1" applyAlignment="1">
      <alignment horizontal="center"/>
    </xf>
    <xf numFmtId="0" fontId="7" fillId="4" borderId="7" xfId="15" applyFont="1" applyFill="1" applyBorder="1" applyAlignment="1" applyProtection="1">
      <alignment horizontal="center" vertical="center"/>
    </xf>
    <xf numFmtId="0" fontId="7" fillId="4" borderId="8" xfId="15" applyFont="1" applyFill="1" applyBorder="1" applyAlignment="1" applyProtection="1">
      <alignment horizontal="center" vertical="center"/>
    </xf>
    <xf numFmtId="0" fontId="7" fillId="4" borderId="9" xfId="15" applyFont="1" applyFill="1" applyBorder="1" applyAlignment="1" applyProtection="1">
      <alignment horizontal="center" vertical="center"/>
    </xf>
    <xf numFmtId="0" fontId="7" fillId="4" borderId="11" xfId="15" applyFont="1" applyFill="1" applyBorder="1" applyAlignment="1" applyProtection="1">
      <alignment horizontal="center" vertical="center"/>
    </xf>
    <xf numFmtId="0" fontId="7" fillId="4" borderId="12" xfId="15" applyFont="1" applyFill="1" applyBorder="1" applyAlignment="1" applyProtection="1">
      <alignment horizontal="center" vertical="center"/>
    </xf>
    <xf numFmtId="0" fontId="7" fillId="4" borderId="13" xfId="15" applyFont="1" applyFill="1" applyBorder="1" applyAlignment="1" applyProtection="1">
      <alignment horizontal="center" vertical="center"/>
    </xf>
    <xf numFmtId="0" fontId="6" fillId="3" borderId="7" xfId="15" applyFont="1" applyFill="1" applyBorder="1" applyProtection="1"/>
    <xf numFmtId="0" fontId="6" fillId="3" borderId="8" xfId="15" applyFont="1" applyFill="1" applyBorder="1" applyProtection="1"/>
    <xf numFmtId="0" fontId="6" fillId="3" borderId="9" xfId="15" applyFont="1" applyFill="1" applyBorder="1" applyProtection="1"/>
    <xf numFmtId="0" fontId="6" fillId="3" borderId="6" xfId="15" applyFont="1" applyFill="1" applyBorder="1" applyAlignment="1" applyProtection="1">
      <alignment horizontal="center" vertical="center"/>
    </xf>
    <xf numFmtId="0" fontId="6" fillId="3" borderId="10" xfId="15" applyFont="1" applyFill="1" applyBorder="1" applyAlignment="1" applyProtection="1">
      <alignment horizontal="center" vertical="center"/>
    </xf>
    <xf numFmtId="0" fontId="0" fillId="3" borderId="22" xfId="0" applyFill="1" applyBorder="1" applyAlignment="1">
      <alignment horizontal="left" vertical="center"/>
    </xf>
    <xf numFmtId="0" fontId="0" fillId="3" borderId="17" xfId="0" applyFill="1" applyBorder="1" applyAlignment="1">
      <alignment horizontal="left" vertical="center"/>
    </xf>
    <xf numFmtId="0" fontId="0" fillId="3" borderId="23" xfId="0" applyFill="1" applyBorder="1" applyAlignment="1">
      <alignment horizontal="left" vertical="center"/>
    </xf>
    <xf numFmtId="0" fontId="0" fillId="3" borderId="16" xfId="0" applyFill="1" applyBorder="1" applyAlignment="1">
      <alignment horizontal="center" vertical="center"/>
    </xf>
    <xf numFmtId="0" fontId="0" fillId="3" borderId="23" xfId="0" applyFill="1" applyBorder="1" applyAlignment="1">
      <alignment horizontal="center" vertical="center"/>
    </xf>
    <xf numFmtId="0" fontId="0" fillId="3" borderId="3" xfId="0" applyFill="1" applyBorder="1" applyAlignment="1">
      <alignment horizontal="center" vertical="center"/>
    </xf>
    <xf numFmtId="0" fontId="23" fillId="3" borderId="0" xfId="11" applyFont="1" applyFill="1" applyBorder="1" applyAlignment="1" applyProtection="1">
      <alignment horizontal="left" vertical="center"/>
    </xf>
    <xf numFmtId="0" fontId="23" fillId="3" borderId="10" xfId="11" applyFont="1" applyFill="1" applyBorder="1" applyAlignment="1" applyProtection="1">
      <alignment horizontal="left" vertical="center"/>
    </xf>
    <xf numFmtId="0" fontId="0" fillId="3" borderId="18" xfId="0" applyFill="1" applyBorder="1" applyAlignment="1">
      <alignment horizontal="center" vertical="center"/>
    </xf>
    <xf numFmtId="0" fontId="0" fillId="3" borderId="33" xfId="0" applyFill="1" applyBorder="1" applyAlignment="1">
      <alignment horizontal="center" vertical="center"/>
    </xf>
    <xf numFmtId="0" fontId="24" fillId="4" borderId="7"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0"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4" fillId="4" borderId="40" xfId="0" applyFont="1" applyFill="1" applyBorder="1" applyAlignment="1">
      <alignment horizontal="center" vertical="center" wrapText="1"/>
    </xf>
    <xf numFmtId="0" fontId="24" fillId="4" borderId="37" xfId="0" applyFont="1" applyFill="1" applyBorder="1" applyAlignment="1">
      <alignment horizontal="center" vertical="center" wrapText="1"/>
    </xf>
    <xf numFmtId="0" fontId="24" fillId="4" borderId="41" xfId="0" applyFont="1" applyFill="1" applyBorder="1" applyAlignment="1">
      <alignment horizontal="center" vertical="center" wrapText="1"/>
    </xf>
    <xf numFmtId="0" fontId="0" fillId="3" borderId="6" xfId="0" applyFill="1" applyBorder="1" applyAlignment="1">
      <alignment horizontal="center"/>
    </xf>
    <xf numFmtId="0" fontId="0" fillId="3" borderId="0" xfId="0" applyFill="1" applyBorder="1" applyAlignment="1">
      <alignment horizontal="center"/>
    </xf>
    <xf numFmtId="0" fontId="0" fillId="3" borderId="10" xfId="0" applyFill="1" applyBorder="1" applyAlignment="1">
      <alignment horizontal="center"/>
    </xf>
    <xf numFmtId="0" fontId="0" fillId="0" borderId="0" xfId="0" applyBorder="1" applyAlignment="1">
      <alignment horizontal="center"/>
    </xf>
    <xf numFmtId="0" fontId="44" fillId="0" borderId="7" xfId="0" applyFont="1" applyBorder="1" applyAlignment="1">
      <alignment horizontal="center" vertical="center"/>
    </xf>
    <xf numFmtId="0" fontId="44" fillId="0" borderId="8" xfId="0" applyFont="1" applyBorder="1" applyAlignment="1">
      <alignment horizontal="center" vertical="center"/>
    </xf>
    <xf numFmtId="0" fontId="44" fillId="0" borderId="9"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center" vertical="center"/>
    </xf>
    <xf numFmtId="0" fontId="44" fillId="0" borderId="13" xfId="0" applyFont="1" applyBorder="1" applyAlignment="1">
      <alignment horizontal="center" vertical="center"/>
    </xf>
    <xf numFmtId="0" fontId="6" fillId="3" borderId="6" xfId="11" applyFont="1" applyFill="1" applyBorder="1" applyAlignment="1" applyProtection="1">
      <alignment horizontal="center"/>
    </xf>
    <xf numFmtId="0" fontId="6" fillId="3" borderId="0" xfId="11" applyFont="1" applyFill="1" applyBorder="1" applyAlignment="1" applyProtection="1">
      <alignment horizontal="center"/>
    </xf>
    <xf numFmtId="0" fontId="8" fillId="4" borderId="25" xfId="0" applyFont="1" applyFill="1" applyBorder="1" applyAlignment="1">
      <alignment horizontal="center" vertical="center"/>
    </xf>
    <xf numFmtId="0" fontId="8" fillId="4" borderId="26" xfId="0" applyFont="1" applyFill="1" applyBorder="1" applyAlignment="1">
      <alignment horizontal="center" vertical="center"/>
    </xf>
    <xf numFmtId="0" fontId="8" fillId="4" borderId="38" xfId="0" applyFont="1" applyFill="1" applyBorder="1" applyAlignment="1">
      <alignment horizontal="center" vertical="center"/>
    </xf>
    <xf numFmtId="1" fontId="6" fillId="3" borderId="19" xfId="3" applyNumberFormat="1" applyFont="1" applyFill="1" applyBorder="1" applyAlignment="1" applyProtection="1">
      <alignment horizontal="center"/>
    </xf>
    <xf numFmtId="1" fontId="6" fillId="3" borderId="21" xfId="3" applyNumberFormat="1" applyFont="1" applyFill="1" applyBorder="1" applyAlignment="1" applyProtection="1">
      <alignment horizontal="center"/>
    </xf>
    <xf numFmtId="1" fontId="6" fillId="3" borderId="36" xfId="3" applyNumberFormat="1" applyFont="1" applyFill="1" applyBorder="1" applyAlignment="1" applyProtection="1">
      <alignment horizontal="center"/>
    </xf>
    <xf numFmtId="0" fontId="3" fillId="3" borderId="3" xfId="0" applyFont="1" applyFill="1" applyBorder="1" applyAlignment="1">
      <alignment horizontal="center" vertical="center"/>
    </xf>
    <xf numFmtId="0" fontId="3" fillId="3" borderId="33" xfId="0" applyFont="1" applyFill="1" applyBorder="1" applyAlignment="1">
      <alignment horizontal="center" vertical="center"/>
    </xf>
    <xf numFmtId="0" fontId="6" fillId="3" borderId="10" xfId="11" applyFont="1" applyFill="1" applyBorder="1" applyAlignment="1" applyProtection="1">
      <alignment horizontal="center"/>
    </xf>
    <xf numFmtId="0" fontId="16" fillId="4" borderId="7"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12" xfId="0" applyFont="1" applyFill="1" applyBorder="1" applyAlignment="1">
      <alignment horizontal="center" vertical="center" wrapText="1"/>
    </xf>
    <xf numFmtId="0" fontId="24" fillId="4" borderId="13" xfId="0" applyFont="1" applyFill="1" applyBorder="1" applyAlignment="1">
      <alignment horizontal="center" vertical="center" wrapText="1"/>
    </xf>
    <xf numFmtId="0" fontId="24" fillId="4" borderId="30" xfId="0" applyFont="1" applyFill="1" applyBorder="1" applyAlignment="1">
      <alignment horizontal="center" vertical="center" wrapText="1"/>
    </xf>
    <xf numFmtId="0" fontId="24" fillId="4" borderId="31" xfId="0" applyFont="1" applyFill="1" applyBorder="1" applyAlignment="1">
      <alignment horizontal="center" vertical="center" wrapText="1"/>
    </xf>
    <xf numFmtId="0" fontId="24" fillId="4" borderId="32" xfId="0" applyFont="1" applyFill="1" applyBorder="1" applyAlignment="1">
      <alignment horizontal="center" vertical="center" wrapText="1"/>
    </xf>
    <xf numFmtId="0" fontId="24" fillId="4" borderId="2" xfId="0" applyFont="1" applyFill="1" applyBorder="1" applyAlignment="1">
      <alignment horizontal="center" vertical="center" wrapText="1"/>
    </xf>
    <xf numFmtId="0" fontId="24" fillId="4" borderId="3" xfId="0" applyFont="1" applyFill="1" applyBorder="1" applyAlignment="1">
      <alignment horizontal="center" vertical="center" wrapText="1"/>
    </xf>
    <xf numFmtId="0" fontId="24" fillId="4" borderId="33" xfId="0" applyFont="1" applyFill="1" applyBorder="1" applyAlignment="1">
      <alignment horizontal="center" vertical="center" wrapText="1"/>
    </xf>
    <xf numFmtId="0" fontId="4" fillId="4" borderId="25" xfId="10" applyFont="1" applyFill="1" applyBorder="1" applyAlignment="1" applyProtection="1">
      <alignment horizontal="center" vertical="center"/>
    </xf>
    <xf numFmtId="0" fontId="4" fillId="4" borderId="26" xfId="10" applyFont="1" applyFill="1" applyBorder="1" applyAlignment="1" applyProtection="1">
      <alignment horizontal="center" vertical="center"/>
    </xf>
    <xf numFmtId="0" fontId="4" fillId="4" borderId="38" xfId="10" applyFont="1" applyFill="1" applyBorder="1" applyAlignment="1" applyProtection="1">
      <alignment horizontal="center" vertical="center"/>
    </xf>
    <xf numFmtId="0" fontId="7" fillId="3" borderId="6" xfId="10" applyFont="1" applyFill="1" applyBorder="1" applyAlignment="1" applyProtection="1">
      <alignment horizontal="center" vertical="center"/>
      <protection locked="0"/>
    </xf>
    <xf numFmtId="0" fontId="7" fillId="3" borderId="0" xfId="10" applyFont="1" applyFill="1" applyBorder="1" applyAlignment="1" applyProtection="1">
      <alignment horizontal="center" vertical="center"/>
      <protection locked="0"/>
    </xf>
    <xf numFmtId="0" fontId="7" fillId="3" borderId="10" xfId="10" applyFont="1" applyFill="1" applyBorder="1" applyAlignment="1" applyProtection="1">
      <alignment horizontal="center" vertical="center"/>
      <protection locked="0"/>
    </xf>
    <xf numFmtId="0" fontId="6" fillId="3" borderId="6" xfId="10" applyFont="1" applyFill="1" applyBorder="1" applyAlignment="1" applyProtection="1">
      <alignment horizontal="center" vertical="center"/>
      <protection locked="0"/>
    </xf>
    <xf numFmtId="0" fontId="6" fillId="3" borderId="0" xfId="10" applyFont="1" applyFill="1" applyBorder="1" applyAlignment="1" applyProtection="1">
      <alignment horizontal="center" vertical="center"/>
      <protection locked="0"/>
    </xf>
    <xf numFmtId="0" fontId="6" fillId="3" borderId="10" xfId="10" applyFont="1" applyFill="1" applyBorder="1" applyAlignment="1" applyProtection="1">
      <alignment horizontal="center" vertical="center"/>
      <protection locked="0"/>
    </xf>
    <xf numFmtId="0" fontId="34" fillId="4" borderId="25" xfId="10" applyFont="1" applyFill="1" applyBorder="1" applyAlignment="1" applyProtection="1">
      <alignment horizontal="center" vertical="center"/>
    </xf>
    <xf numFmtId="0" fontId="34" fillId="4" borderId="26" xfId="10" applyFont="1" applyFill="1" applyBorder="1" applyAlignment="1" applyProtection="1">
      <alignment horizontal="center" vertical="center"/>
    </xf>
    <xf numFmtId="0" fontId="34" fillId="4" borderId="38" xfId="10" applyFont="1" applyFill="1" applyBorder="1" applyAlignment="1" applyProtection="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4" fillId="4" borderId="7" xfId="10" applyFont="1" applyFill="1" applyBorder="1" applyAlignment="1" applyProtection="1">
      <alignment horizontal="center" vertical="center"/>
    </xf>
    <xf numFmtId="0" fontId="4" fillId="4" borderId="8" xfId="10" applyFont="1" applyFill="1" applyBorder="1" applyAlignment="1" applyProtection="1">
      <alignment horizontal="center" vertical="center"/>
    </xf>
    <xf numFmtId="0" fontId="4" fillId="4" borderId="9" xfId="10" applyFont="1" applyFill="1" applyBorder="1" applyAlignment="1" applyProtection="1">
      <alignment horizontal="center" vertical="center"/>
    </xf>
    <xf numFmtId="0" fontId="6" fillId="3" borderId="6" xfId="10" applyFont="1" applyFill="1" applyBorder="1" applyAlignment="1" applyProtection="1">
      <alignment horizontal="center" vertical="center"/>
    </xf>
    <xf numFmtId="0" fontId="6" fillId="3" borderId="0" xfId="10" applyFont="1" applyFill="1" applyBorder="1" applyAlignment="1" applyProtection="1">
      <alignment horizontal="center" vertical="center"/>
    </xf>
    <xf numFmtId="0" fontId="6" fillId="3" borderId="10" xfId="10" applyFont="1" applyFill="1" applyBorder="1" applyAlignment="1" applyProtection="1">
      <alignment horizontal="center" vertical="center"/>
    </xf>
    <xf numFmtId="0" fontId="6" fillId="3" borderId="6" xfId="10" applyFont="1" applyFill="1" applyBorder="1" applyAlignment="1" applyProtection="1">
      <alignment horizontal="center"/>
      <protection locked="0"/>
    </xf>
    <xf numFmtId="0" fontId="6" fillId="3" borderId="0" xfId="10" applyFont="1" applyFill="1" applyBorder="1" applyAlignment="1" applyProtection="1">
      <alignment horizontal="center"/>
      <protection locked="0"/>
    </xf>
    <xf numFmtId="0" fontId="6" fillId="3" borderId="10" xfId="10" applyFont="1" applyFill="1" applyBorder="1" applyAlignment="1" applyProtection="1">
      <alignment horizontal="center"/>
      <protection locked="0"/>
    </xf>
    <xf numFmtId="0" fontId="24" fillId="4" borderId="25" xfId="0" applyFont="1" applyFill="1" applyBorder="1" applyAlignment="1">
      <alignment horizontal="center" vertical="center"/>
    </xf>
    <xf numFmtId="0" fontId="24" fillId="4" borderId="26" xfId="0" applyFont="1" applyFill="1" applyBorder="1" applyAlignment="1">
      <alignment horizontal="center" vertical="center"/>
    </xf>
    <xf numFmtId="0" fontId="24" fillId="4" borderId="38" xfId="0" applyFont="1" applyFill="1" applyBorder="1" applyAlignment="1">
      <alignment horizontal="center" vertical="center"/>
    </xf>
    <xf numFmtId="0" fontId="12" fillId="3" borderId="7" xfId="11" applyFont="1" applyFill="1" applyBorder="1" applyAlignment="1" applyProtection="1">
      <alignment horizontal="center" vertical="center"/>
    </xf>
    <xf numFmtId="0" fontId="12" fillId="3" borderId="8" xfId="11" applyFont="1" applyFill="1" applyBorder="1" applyAlignment="1" applyProtection="1">
      <alignment horizontal="center" vertical="center"/>
    </xf>
    <xf numFmtId="0" fontId="12" fillId="3" borderId="9" xfId="11" applyFont="1" applyFill="1" applyBorder="1" applyAlignment="1" applyProtection="1">
      <alignment horizontal="center" vertical="center"/>
    </xf>
    <xf numFmtId="0" fontId="4" fillId="4" borderId="25" xfId="11" applyFont="1" applyFill="1" applyBorder="1" applyAlignment="1" applyProtection="1">
      <alignment horizontal="center" vertical="center"/>
    </xf>
    <xf numFmtId="0" fontId="4" fillId="4" borderId="26" xfId="11" applyFont="1" applyFill="1" applyBorder="1" applyAlignment="1" applyProtection="1">
      <alignment horizontal="center" vertical="center"/>
    </xf>
    <xf numFmtId="0" fontId="4" fillId="4" borderId="38" xfId="11" applyFont="1" applyFill="1" applyBorder="1" applyAlignment="1" applyProtection="1">
      <alignment horizontal="center" vertical="center"/>
    </xf>
    <xf numFmtId="0" fontId="3" fillId="3" borderId="0" xfId="0" applyFont="1" applyFill="1" applyBorder="1" applyAlignment="1">
      <alignment horizontal="center"/>
    </xf>
    <xf numFmtId="0" fontId="3" fillId="3" borderId="10" xfId="0" applyFont="1" applyFill="1" applyBorder="1" applyAlignment="1">
      <alignment horizontal="center"/>
    </xf>
    <xf numFmtId="1" fontId="6" fillId="3" borderId="18" xfId="3" applyNumberFormat="1" applyFont="1" applyFill="1" applyBorder="1" applyAlignment="1" applyProtection="1">
      <alignment horizontal="center"/>
    </xf>
    <xf numFmtId="2" fontId="6" fillId="3" borderId="22" xfId="3" applyFont="1" applyFill="1" applyBorder="1" applyAlignment="1" applyProtection="1">
      <alignment horizontal="left"/>
    </xf>
    <xf numFmtId="2" fontId="6" fillId="3" borderId="17" xfId="3" applyFont="1" applyFill="1" applyBorder="1" applyAlignment="1" applyProtection="1">
      <alignment horizontal="left"/>
    </xf>
    <xf numFmtId="2" fontId="6" fillId="3" borderId="23" xfId="3" applyFont="1" applyFill="1" applyBorder="1" applyAlignment="1" applyProtection="1">
      <alignment horizontal="left"/>
    </xf>
    <xf numFmtId="2" fontId="6" fillId="3" borderId="35" xfId="3" applyFont="1" applyFill="1" applyBorder="1" applyAlignment="1" applyProtection="1">
      <alignment horizontal="left"/>
    </xf>
    <xf numFmtId="2" fontId="6" fillId="3" borderId="20" xfId="3" applyFont="1" applyFill="1" applyBorder="1" applyAlignment="1" applyProtection="1">
      <alignment horizontal="left"/>
    </xf>
    <xf numFmtId="2" fontId="6" fillId="3" borderId="36" xfId="3" applyFont="1" applyFill="1" applyBorder="1" applyAlignment="1" applyProtection="1">
      <alignment horizontal="left"/>
    </xf>
    <xf numFmtId="0" fontId="3" fillId="4" borderId="51" xfId="0" applyFont="1" applyFill="1" applyBorder="1" applyAlignment="1">
      <alignment horizontal="left" vertical="center"/>
    </xf>
    <xf numFmtId="0" fontId="3" fillId="4" borderId="14" xfId="0" applyFont="1" applyFill="1" applyBorder="1" applyAlignment="1">
      <alignment horizontal="left" vertical="center"/>
    </xf>
    <xf numFmtId="0" fontId="3" fillId="4" borderId="15" xfId="0" applyFont="1" applyFill="1" applyBorder="1" applyAlignment="1">
      <alignment horizontal="left" vertical="center"/>
    </xf>
    <xf numFmtId="2" fontId="4" fillId="4" borderId="51" xfId="3" applyFont="1" applyFill="1" applyBorder="1" applyAlignment="1" applyProtection="1">
      <alignment horizontal="center" vertical="center"/>
    </xf>
    <xf numFmtId="2" fontId="4" fillId="4" borderId="14" xfId="3" applyFont="1" applyFill="1" applyBorder="1" applyAlignment="1" applyProtection="1">
      <alignment horizontal="center" vertical="center"/>
    </xf>
    <xf numFmtId="2" fontId="4" fillId="4" borderId="15" xfId="3" applyFont="1" applyFill="1" applyBorder="1" applyAlignment="1" applyProtection="1">
      <alignment horizontal="center" vertical="center"/>
    </xf>
    <xf numFmtId="0" fontId="3" fillId="4" borderId="22" xfId="0" applyFont="1" applyFill="1" applyBorder="1" applyAlignment="1">
      <alignment horizontal="left" vertical="center"/>
    </xf>
    <xf numFmtId="0" fontId="3" fillId="4" borderId="17" xfId="0" applyFont="1" applyFill="1" applyBorder="1" applyAlignment="1">
      <alignment horizontal="left" vertical="center"/>
    </xf>
    <xf numFmtId="0" fontId="3" fillId="4" borderId="18" xfId="0" applyFont="1" applyFill="1" applyBorder="1" applyAlignment="1">
      <alignment horizontal="left" vertical="center"/>
    </xf>
    <xf numFmtId="2" fontId="7" fillId="3" borderId="18" xfId="3" applyFont="1" applyFill="1" applyBorder="1" applyAlignment="1" applyProtection="1">
      <alignment horizontal="center"/>
    </xf>
    <xf numFmtId="0" fontId="3" fillId="3" borderId="22" xfId="0" applyFont="1" applyFill="1" applyBorder="1" applyAlignment="1">
      <alignment horizontal="left" vertical="center"/>
    </xf>
    <xf numFmtId="0" fontId="3" fillId="3" borderId="17" xfId="0" applyFont="1" applyFill="1" applyBorder="1" applyAlignment="1">
      <alignment horizontal="left" vertical="center"/>
    </xf>
    <xf numFmtId="0" fontId="3" fillId="3" borderId="23" xfId="0" applyFont="1" applyFill="1" applyBorder="1" applyAlignment="1">
      <alignment horizontal="left" vertical="center"/>
    </xf>
    <xf numFmtId="0" fontId="7" fillId="3" borderId="6" xfId="11" applyFont="1" applyFill="1" applyBorder="1" applyAlignment="1" applyProtection="1">
      <alignment horizontal="center"/>
    </xf>
    <xf numFmtId="0" fontId="7" fillId="3" borderId="0" xfId="11" applyFont="1" applyFill="1" applyBorder="1" applyAlignment="1" applyProtection="1">
      <alignment horizontal="center"/>
    </xf>
  </cellXfs>
  <cellStyles count="31">
    <cellStyle name="Comma" xfId="29" builtinId="3"/>
    <cellStyle name="Comma 2" xfId="30" xr:uid="{00000000-0005-0000-0000-000001000000}"/>
    <cellStyle name="Hyperlink" xfId="9" builtinId="8"/>
    <cellStyle name="Normal" xfId="0" builtinId="0"/>
    <cellStyle name="Normal 10" xfId="11" xr:uid="{00000000-0005-0000-0000-000004000000}"/>
    <cellStyle name="Normal 10 2" xfId="21" xr:uid="{00000000-0005-0000-0000-000005000000}"/>
    <cellStyle name="Normal 10 3" xfId="23" xr:uid="{00000000-0005-0000-0000-000006000000}"/>
    <cellStyle name="Normal 10 4" xfId="25" xr:uid="{00000000-0005-0000-0000-000007000000}"/>
    <cellStyle name="Normal 10_SITE DATA" xfId="27" xr:uid="{00000000-0005-0000-0000-000008000000}"/>
    <cellStyle name="Normal 11" xfId="12" xr:uid="{00000000-0005-0000-0000-000009000000}"/>
    <cellStyle name="Normal 12" xfId="13" xr:uid="{00000000-0005-0000-0000-00000A000000}"/>
    <cellStyle name="Normal 13" xfId="16" xr:uid="{00000000-0005-0000-0000-00000B000000}"/>
    <cellStyle name="Normal 13 2" xfId="22" xr:uid="{00000000-0005-0000-0000-00000C000000}"/>
    <cellStyle name="Normal 13 3" xfId="24" xr:uid="{00000000-0005-0000-0000-00000D000000}"/>
    <cellStyle name="Normal 13 4" xfId="26" xr:uid="{00000000-0005-0000-0000-00000E000000}"/>
    <cellStyle name="Normal 13_SITE DATA" xfId="28" xr:uid="{00000000-0005-0000-0000-00000F000000}"/>
    <cellStyle name="Normal 14" xfId="17" xr:uid="{00000000-0005-0000-0000-000010000000}"/>
    <cellStyle name="Normal 15" xfId="18" xr:uid="{00000000-0005-0000-0000-000011000000}"/>
    <cellStyle name="Normal 16" xfId="19" xr:uid="{00000000-0005-0000-0000-000012000000}"/>
    <cellStyle name="Normal 17" xfId="20" xr:uid="{00000000-0005-0000-0000-000013000000}"/>
    <cellStyle name="Normal 2" xfId="8" xr:uid="{00000000-0005-0000-0000-000014000000}"/>
    <cellStyle name="Normal 3" xfId="10" xr:uid="{00000000-0005-0000-0000-000015000000}"/>
    <cellStyle name="Normal 4" xfId="4" xr:uid="{00000000-0005-0000-0000-000016000000}"/>
    <cellStyle name="Normal 5" xfId="5" xr:uid="{00000000-0005-0000-0000-000017000000}"/>
    <cellStyle name="Normal 6" xfId="6" xr:uid="{00000000-0005-0000-0000-000018000000}"/>
    <cellStyle name="Normal 7" xfId="14" xr:uid="{00000000-0005-0000-0000-000019000000}"/>
    <cellStyle name="Normal 8" xfId="7" xr:uid="{00000000-0005-0000-0000-00001A000000}"/>
    <cellStyle name="Normal 9" xfId="15" xr:uid="{00000000-0005-0000-0000-00001B000000}"/>
    <cellStyle name="Normal_Preliminary Plan" xfId="2" xr:uid="{00000000-0005-0000-0000-00001C000000}"/>
    <cellStyle name="Normal_Prelminary Plan" xfId="1" xr:uid="{00000000-0005-0000-0000-00001D000000}"/>
    <cellStyle name="Normal_Target-Pre" xfId="3" xr:uid="{00000000-0005-0000-0000-00001E000000}"/>
  </cellStyles>
  <dxfs count="48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fill>
        <patternFill>
          <bgColor theme="0"/>
        </patternFill>
      </fill>
    </dxf>
    <dxf>
      <font>
        <color theme="0"/>
      </font>
    </dxf>
    <dxf>
      <font>
        <color theme="0"/>
      </font>
    </dxf>
    <dxf>
      <font>
        <color theme="0"/>
      </font>
      <fill>
        <patternFill>
          <bgColor theme="0"/>
        </patternFill>
      </fill>
    </dxf>
    <dxf>
      <font>
        <color theme="0"/>
      </font>
      <fill>
        <patternFill>
          <bgColor theme="0"/>
        </patternFill>
      </fill>
    </dxf>
    <dxf>
      <font>
        <condense val="0"/>
        <extend val="0"/>
        <color rgb="FF9C0006"/>
      </font>
      <fill>
        <patternFill>
          <bgColor rgb="FFFFC7CE"/>
        </patternFill>
      </fill>
    </dxf>
    <dxf>
      <font>
        <color theme="0"/>
      </font>
    </dxf>
    <dxf>
      <font>
        <color theme="0"/>
      </font>
    </dxf>
    <dxf>
      <font>
        <color theme="0"/>
      </font>
    </dxf>
    <dxf>
      <font>
        <color theme="0"/>
      </font>
      <fill>
        <patternFill>
          <bgColor theme="0"/>
        </patternFill>
      </fill>
    </dxf>
    <dxf>
      <font>
        <color theme="0"/>
      </font>
      <fill>
        <patternFill>
          <bgColor theme="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dxf>
    <dxf>
      <font>
        <color theme="0" tint="-0.14996795556505021"/>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tint="-0.14996795556505021"/>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tint="-0.14996795556505021"/>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tint="-0.14996795556505021"/>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tint="-0.14996795556505021"/>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tint="-0.14996795556505021"/>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tint="-0.14996795556505021"/>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tint="-0.14996795556505021"/>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tint="-0.14996795556505021"/>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tint="-0.14996795556505021"/>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tint="-0.14996795556505021"/>
      </font>
    </dxf>
    <dxf>
      <font>
        <color theme="0"/>
      </font>
    </dxf>
    <dxf>
      <font>
        <color theme="0"/>
      </font>
    </dxf>
    <dxf>
      <font>
        <color theme="0"/>
      </font>
    </dxf>
    <dxf>
      <font>
        <color theme="0"/>
      </font>
    </dxf>
    <dxf>
      <font>
        <color theme="0" tint="-0.14996795556505021"/>
      </font>
    </dxf>
    <dxf>
      <font>
        <color theme="0" tint="-0.14996795556505021"/>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theme="0"/>
        </patternFill>
      </fill>
    </dxf>
    <dxf>
      <font>
        <color theme="0"/>
      </font>
      <fill>
        <patternFill>
          <bgColor theme="0"/>
        </patternFill>
      </fill>
    </dxf>
    <dxf>
      <font>
        <color theme="0"/>
      </font>
    </dxf>
    <dxf>
      <font>
        <color theme="0" tint="-0.14996795556505021"/>
      </font>
    </dxf>
    <dxf>
      <font>
        <color theme="0"/>
      </font>
    </dxf>
    <dxf>
      <font>
        <condense val="0"/>
        <extend val="0"/>
        <color rgb="FF9C0006"/>
      </font>
      <fill>
        <patternFill>
          <bgColor rgb="FFFFC7CE"/>
        </patternFill>
      </fill>
    </dxf>
    <dxf>
      <fill>
        <patternFill>
          <bgColor theme="0"/>
        </patternFill>
      </fill>
    </dxf>
    <dxf>
      <font>
        <color theme="0"/>
      </font>
    </dxf>
    <dxf>
      <font>
        <color theme="0"/>
      </font>
    </dxf>
    <dxf>
      <font>
        <color theme="0"/>
      </font>
    </dxf>
    <dxf>
      <font>
        <color theme="0"/>
      </font>
    </dxf>
    <dxf>
      <font>
        <color theme="0"/>
      </font>
    </dxf>
    <dxf>
      <font>
        <color theme="0"/>
      </font>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ndense val="0"/>
        <extend val="0"/>
        <color rgb="FF9C0006"/>
      </font>
      <fill>
        <patternFill>
          <bgColor rgb="FFFFC7CE"/>
        </patternFill>
      </fill>
    </dxf>
    <dxf>
      <font>
        <condense val="0"/>
        <extend val="0"/>
        <color rgb="FF9C0006"/>
      </font>
      <fill>
        <patternFill>
          <bgColor rgb="FFFFC7CE"/>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33617</xdr:colOff>
      <xdr:row>0</xdr:row>
      <xdr:rowOff>11206</xdr:rowOff>
    </xdr:from>
    <xdr:to>
      <xdr:col>1</xdr:col>
      <xdr:colOff>1043267</xdr:colOff>
      <xdr:row>6</xdr:row>
      <xdr:rowOff>91888</xdr:rowOff>
    </xdr:to>
    <xdr:pic>
      <xdr:nvPicPr>
        <xdr:cNvPr id="3" name="Picture 12" descr="Wake County Logo">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617" y="11206"/>
          <a:ext cx="1009650" cy="12573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1</xdr:col>
      <xdr:colOff>1066800</xdr:colOff>
      <xdr:row>6</xdr:row>
      <xdr:rowOff>47625</xdr:rowOff>
    </xdr:to>
    <xdr:pic>
      <xdr:nvPicPr>
        <xdr:cNvPr id="2" name="Picture 12" descr="Wake County 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28575"/>
          <a:ext cx="1009650" cy="1257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1</xdr:col>
      <xdr:colOff>1066800</xdr:colOff>
      <xdr:row>6</xdr:row>
      <xdr:rowOff>47625</xdr:rowOff>
    </xdr:to>
    <xdr:pic>
      <xdr:nvPicPr>
        <xdr:cNvPr id="2" name="Picture 12" descr="Wake County 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28575"/>
          <a:ext cx="1009650" cy="12573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1</xdr:col>
      <xdr:colOff>1066800</xdr:colOff>
      <xdr:row>6</xdr:row>
      <xdr:rowOff>47625</xdr:rowOff>
    </xdr:to>
    <xdr:pic>
      <xdr:nvPicPr>
        <xdr:cNvPr id="2" name="Picture 12" descr="Wake County Logo">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28575"/>
          <a:ext cx="1009650" cy="12573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1</xdr:col>
      <xdr:colOff>1066800</xdr:colOff>
      <xdr:row>6</xdr:row>
      <xdr:rowOff>47625</xdr:rowOff>
    </xdr:to>
    <xdr:pic>
      <xdr:nvPicPr>
        <xdr:cNvPr id="2" name="Picture 12" descr="Wake County 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28575"/>
          <a:ext cx="1009650" cy="12573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1</xdr:col>
      <xdr:colOff>1066800</xdr:colOff>
      <xdr:row>6</xdr:row>
      <xdr:rowOff>47625</xdr:rowOff>
    </xdr:to>
    <xdr:pic>
      <xdr:nvPicPr>
        <xdr:cNvPr id="2" name="Picture 12" descr="Wake County Logo">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28575"/>
          <a:ext cx="1009650" cy="12573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1</xdr:col>
      <xdr:colOff>1066800</xdr:colOff>
      <xdr:row>6</xdr:row>
      <xdr:rowOff>47625</xdr:rowOff>
    </xdr:to>
    <xdr:pic>
      <xdr:nvPicPr>
        <xdr:cNvPr id="2" name="Picture 12" descr="Wake County Logo">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28575"/>
          <a:ext cx="1009650" cy="12573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1</xdr:col>
      <xdr:colOff>1066800</xdr:colOff>
      <xdr:row>6</xdr:row>
      <xdr:rowOff>47625</xdr:rowOff>
    </xdr:to>
    <xdr:pic>
      <xdr:nvPicPr>
        <xdr:cNvPr id="2" name="Picture 12" descr="Wake County Logo">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28575"/>
          <a:ext cx="1009650" cy="1257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1</xdr:col>
      <xdr:colOff>1066800</xdr:colOff>
      <xdr:row>6</xdr:row>
      <xdr:rowOff>47625</xdr:rowOff>
    </xdr:to>
    <xdr:pic>
      <xdr:nvPicPr>
        <xdr:cNvPr id="2" name="Picture 12" descr="Wake County Logo">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28575"/>
          <a:ext cx="1009650" cy="12573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1</xdr:col>
      <xdr:colOff>1066800</xdr:colOff>
      <xdr:row>6</xdr:row>
      <xdr:rowOff>47625</xdr:rowOff>
    </xdr:to>
    <xdr:pic>
      <xdr:nvPicPr>
        <xdr:cNvPr id="2" name="Picture 12" descr="Wake County Logo">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28575"/>
          <a:ext cx="1009650" cy="12573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1</xdr:col>
      <xdr:colOff>1066800</xdr:colOff>
      <xdr:row>6</xdr:row>
      <xdr:rowOff>47625</xdr:rowOff>
    </xdr:to>
    <xdr:pic>
      <xdr:nvPicPr>
        <xdr:cNvPr id="2" name="Picture 12" descr="Wake County Logo">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28575"/>
          <a:ext cx="1009650" cy="12573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57150</xdr:colOff>
      <xdr:row>0</xdr:row>
      <xdr:rowOff>19050</xdr:rowOff>
    </xdr:from>
    <xdr:to>
      <xdr:col>1</xdr:col>
      <xdr:colOff>1066800</xdr:colOff>
      <xdr:row>6</xdr:row>
      <xdr:rowOff>38100</xdr:rowOff>
    </xdr:to>
    <xdr:pic>
      <xdr:nvPicPr>
        <xdr:cNvPr id="3" name="Picture 12" descr="Wake County Logo">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19050"/>
          <a:ext cx="1009650" cy="12573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1047750</xdr:colOff>
      <xdr:row>6</xdr:row>
      <xdr:rowOff>99732</xdr:rowOff>
    </xdr:to>
    <xdr:pic>
      <xdr:nvPicPr>
        <xdr:cNvPr id="3" name="Picture 12" descr="Wake County Logo">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8100" y="47625"/>
          <a:ext cx="1009650" cy="12573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1047750</xdr:colOff>
      <xdr:row>6</xdr:row>
      <xdr:rowOff>99732</xdr:rowOff>
    </xdr:to>
    <xdr:pic>
      <xdr:nvPicPr>
        <xdr:cNvPr id="2" name="Picture 12" descr="Wake County Logo">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61950" y="47625"/>
          <a:ext cx="1009650" cy="1309407"/>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1047750</xdr:colOff>
      <xdr:row>6</xdr:row>
      <xdr:rowOff>99732</xdr:rowOff>
    </xdr:to>
    <xdr:pic>
      <xdr:nvPicPr>
        <xdr:cNvPr id="2" name="Picture 12" descr="Wake County Logo">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61950" y="47625"/>
          <a:ext cx="1009650" cy="1309407"/>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1047750</xdr:colOff>
      <xdr:row>6</xdr:row>
      <xdr:rowOff>99732</xdr:rowOff>
    </xdr:to>
    <xdr:pic>
      <xdr:nvPicPr>
        <xdr:cNvPr id="2" name="Picture 12" descr="Wake County Logo">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61950" y="47625"/>
          <a:ext cx="1009650" cy="1309407"/>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1047750</xdr:colOff>
      <xdr:row>6</xdr:row>
      <xdr:rowOff>99732</xdr:rowOff>
    </xdr:to>
    <xdr:pic>
      <xdr:nvPicPr>
        <xdr:cNvPr id="2" name="Picture 12" descr="Wake County Logo">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61950" y="47625"/>
          <a:ext cx="1009650" cy="1309407"/>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1047750</xdr:colOff>
      <xdr:row>6</xdr:row>
      <xdr:rowOff>99732</xdr:rowOff>
    </xdr:to>
    <xdr:pic>
      <xdr:nvPicPr>
        <xdr:cNvPr id="2" name="Picture 12" descr="Wake County Logo">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61950" y="47625"/>
          <a:ext cx="1009650" cy="1309407"/>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1047750</xdr:colOff>
      <xdr:row>6</xdr:row>
      <xdr:rowOff>99732</xdr:rowOff>
    </xdr:to>
    <xdr:pic>
      <xdr:nvPicPr>
        <xdr:cNvPr id="2" name="Picture 12" descr="Wake County Logo">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61950" y="47625"/>
          <a:ext cx="1009650" cy="1309407"/>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1047750</xdr:colOff>
      <xdr:row>6</xdr:row>
      <xdr:rowOff>99732</xdr:rowOff>
    </xdr:to>
    <xdr:pic>
      <xdr:nvPicPr>
        <xdr:cNvPr id="2" name="Picture 12" descr="Wake County Logo">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61950" y="47625"/>
          <a:ext cx="1009650" cy="1309407"/>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1047750</xdr:colOff>
      <xdr:row>6</xdr:row>
      <xdr:rowOff>99732</xdr:rowOff>
    </xdr:to>
    <xdr:pic>
      <xdr:nvPicPr>
        <xdr:cNvPr id="2" name="Picture 12" descr="Wake County Logo">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61950" y="47625"/>
          <a:ext cx="1009650" cy="1309407"/>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1047750</xdr:colOff>
      <xdr:row>6</xdr:row>
      <xdr:rowOff>99732</xdr:rowOff>
    </xdr:to>
    <xdr:pic>
      <xdr:nvPicPr>
        <xdr:cNvPr id="2" name="Picture 12" descr="Wake County Logo">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61950" y="47625"/>
          <a:ext cx="1009650" cy="1309407"/>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57150</xdr:colOff>
      <xdr:row>0</xdr:row>
      <xdr:rowOff>19050</xdr:rowOff>
    </xdr:from>
    <xdr:to>
      <xdr:col>1</xdr:col>
      <xdr:colOff>1066800</xdr:colOff>
      <xdr:row>6</xdr:row>
      <xdr:rowOff>76200</xdr:rowOff>
    </xdr:to>
    <xdr:pic>
      <xdr:nvPicPr>
        <xdr:cNvPr id="2" name="Picture 12" descr="Wake County 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150" y="19050"/>
          <a:ext cx="1009650" cy="125730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28575</xdr:colOff>
      <xdr:row>0</xdr:row>
      <xdr:rowOff>19050</xdr:rowOff>
    </xdr:from>
    <xdr:to>
      <xdr:col>1</xdr:col>
      <xdr:colOff>771525</xdr:colOff>
      <xdr:row>4</xdr:row>
      <xdr:rowOff>170890</xdr:rowOff>
    </xdr:to>
    <xdr:pic>
      <xdr:nvPicPr>
        <xdr:cNvPr id="2" name="Picture 12" descr="Wake County Logo">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8575" y="19050"/>
          <a:ext cx="742950" cy="93289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2457450</xdr:colOff>
          <xdr:row>50</xdr:row>
          <xdr:rowOff>76200</xdr:rowOff>
        </xdr:from>
        <xdr:to>
          <xdr:col>1</xdr:col>
          <xdr:colOff>2781300</xdr:colOff>
          <xdr:row>50</xdr:row>
          <xdr:rowOff>304800</xdr:rowOff>
        </xdr:to>
        <xdr:sp macro="" textlink="">
          <xdr:nvSpPr>
            <xdr:cNvPr id="87041" name="Check Box 1" hidden="1">
              <a:extLst>
                <a:ext uri="{63B3BB69-23CF-44E3-9099-C40C66FF867C}">
                  <a14:compatExt spid="_x0000_s87041"/>
                </a:ext>
                <a:ext uri="{FF2B5EF4-FFF2-40B4-BE49-F238E27FC236}">
                  <a16:creationId xmlns:a16="http://schemas.microsoft.com/office/drawing/2014/main" id="{00000000-0008-0000-1900-000001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51</xdr:row>
          <xdr:rowOff>76200</xdr:rowOff>
        </xdr:from>
        <xdr:to>
          <xdr:col>1</xdr:col>
          <xdr:colOff>2781300</xdr:colOff>
          <xdr:row>51</xdr:row>
          <xdr:rowOff>304800</xdr:rowOff>
        </xdr:to>
        <xdr:sp macro="" textlink="">
          <xdr:nvSpPr>
            <xdr:cNvPr id="87043" name="Check Box 3" hidden="1">
              <a:extLst>
                <a:ext uri="{63B3BB69-23CF-44E3-9099-C40C66FF867C}">
                  <a14:compatExt spid="_x0000_s87043"/>
                </a:ext>
                <a:ext uri="{FF2B5EF4-FFF2-40B4-BE49-F238E27FC236}">
                  <a16:creationId xmlns:a16="http://schemas.microsoft.com/office/drawing/2014/main" id="{00000000-0008-0000-1900-000003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53</xdr:row>
          <xdr:rowOff>76200</xdr:rowOff>
        </xdr:from>
        <xdr:to>
          <xdr:col>1</xdr:col>
          <xdr:colOff>2781300</xdr:colOff>
          <xdr:row>53</xdr:row>
          <xdr:rowOff>304800</xdr:rowOff>
        </xdr:to>
        <xdr:sp macro="" textlink="">
          <xdr:nvSpPr>
            <xdr:cNvPr id="87044" name="Check Box 4" hidden="1">
              <a:extLst>
                <a:ext uri="{63B3BB69-23CF-44E3-9099-C40C66FF867C}">
                  <a14:compatExt spid="_x0000_s87044"/>
                </a:ext>
                <a:ext uri="{FF2B5EF4-FFF2-40B4-BE49-F238E27FC236}">
                  <a16:creationId xmlns:a16="http://schemas.microsoft.com/office/drawing/2014/main" id="{00000000-0008-0000-1900-000004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54</xdr:row>
          <xdr:rowOff>76200</xdr:rowOff>
        </xdr:from>
        <xdr:to>
          <xdr:col>1</xdr:col>
          <xdr:colOff>2781300</xdr:colOff>
          <xdr:row>54</xdr:row>
          <xdr:rowOff>304800</xdr:rowOff>
        </xdr:to>
        <xdr:sp macro="" textlink="">
          <xdr:nvSpPr>
            <xdr:cNvPr id="87045" name="Check Box 5" hidden="1">
              <a:extLst>
                <a:ext uri="{63B3BB69-23CF-44E3-9099-C40C66FF867C}">
                  <a14:compatExt spid="_x0000_s87045"/>
                </a:ext>
                <a:ext uri="{FF2B5EF4-FFF2-40B4-BE49-F238E27FC236}">
                  <a16:creationId xmlns:a16="http://schemas.microsoft.com/office/drawing/2014/main" id="{00000000-0008-0000-1900-000005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55</xdr:row>
          <xdr:rowOff>76200</xdr:rowOff>
        </xdr:from>
        <xdr:to>
          <xdr:col>1</xdr:col>
          <xdr:colOff>2781300</xdr:colOff>
          <xdr:row>55</xdr:row>
          <xdr:rowOff>304800</xdr:rowOff>
        </xdr:to>
        <xdr:sp macro="" textlink="">
          <xdr:nvSpPr>
            <xdr:cNvPr id="87046" name="Check Box 6" hidden="1">
              <a:extLst>
                <a:ext uri="{63B3BB69-23CF-44E3-9099-C40C66FF867C}">
                  <a14:compatExt spid="_x0000_s87046"/>
                </a:ext>
                <a:ext uri="{FF2B5EF4-FFF2-40B4-BE49-F238E27FC236}">
                  <a16:creationId xmlns:a16="http://schemas.microsoft.com/office/drawing/2014/main" id="{00000000-0008-0000-1900-000006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56</xdr:row>
          <xdr:rowOff>76200</xdr:rowOff>
        </xdr:from>
        <xdr:to>
          <xdr:col>1</xdr:col>
          <xdr:colOff>2781300</xdr:colOff>
          <xdr:row>56</xdr:row>
          <xdr:rowOff>304800</xdr:rowOff>
        </xdr:to>
        <xdr:sp macro="" textlink="">
          <xdr:nvSpPr>
            <xdr:cNvPr id="87047" name="Check Box 7" hidden="1">
              <a:extLst>
                <a:ext uri="{63B3BB69-23CF-44E3-9099-C40C66FF867C}">
                  <a14:compatExt spid="_x0000_s87047"/>
                </a:ext>
                <a:ext uri="{FF2B5EF4-FFF2-40B4-BE49-F238E27FC236}">
                  <a16:creationId xmlns:a16="http://schemas.microsoft.com/office/drawing/2014/main" id="{00000000-0008-0000-1900-000007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57</xdr:row>
          <xdr:rowOff>76200</xdr:rowOff>
        </xdr:from>
        <xdr:to>
          <xdr:col>1</xdr:col>
          <xdr:colOff>2781300</xdr:colOff>
          <xdr:row>57</xdr:row>
          <xdr:rowOff>304800</xdr:rowOff>
        </xdr:to>
        <xdr:sp macro="" textlink="">
          <xdr:nvSpPr>
            <xdr:cNvPr id="87048" name="Check Box 8" hidden="1">
              <a:extLst>
                <a:ext uri="{63B3BB69-23CF-44E3-9099-C40C66FF867C}">
                  <a14:compatExt spid="_x0000_s87048"/>
                </a:ext>
                <a:ext uri="{FF2B5EF4-FFF2-40B4-BE49-F238E27FC236}">
                  <a16:creationId xmlns:a16="http://schemas.microsoft.com/office/drawing/2014/main" id="{00000000-0008-0000-1900-000008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58</xdr:row>
          <xdr:rowOff>76200</xdr:rowOff>
        </xdr:from>
        <xdr:to>
          <xdr:col>1</xdr:col>
          <xdr:colOff>2781300</xdr:colOff>
          <xdr:row>58</xdr:row>
          <xdr:rowOff>304800</xdr:rowOff>
        </xdr:to>
        <xdr:sp macro="" textlink="">
          <xdr:nvSpPr>
            <xdr:cNvPr id="87049" name="Check Box 9" hidden="1">
              <a:extLst>
                <a:ext uri="{63B3BB69-23CF-44E3-9099-C40C66FF867C}">
                  <a14:compatExt spid="_x0000_s87049"/>
                </a:ext>
                <a:ext uri="{FF2B5EF4-FFF2-40B4-BE49-F238E27FC236}">
                  <a16:creationId xmlns:a16="http://schemas.microsoft.com/office/drawing/2014/main" id="{00000000-0008-0000-1900-000009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59</xdr:row>
          <xdr:rowOff>76200</xdr:rowOff>
        </xdr:from>
        <xdr:to>
          <xdr:col>1</xdr:col>
          <xdr:colOff>2781300</xdr:colOff>
          <xdr:row>59</xdr:row>
          <xdr:rowOff>304800</xdr:rowOff>
        </xdr:to>
        <xdr:sp macro="" textlink="">
          <xdr:nvSpPr>
            <xdr:cNvPr id="87050" name="Check Box 10" hidden="1">
              <a:extLst>
                <a:ext uri="{63B3BB69-23CF-44E3-9099-C40C66FF867C}">
                  <a14:compatExt spid="_x0000_s87050"/>
                </a:ext>
                <a:ext uri="{FF2B5EF4-FFF2-40B4-BE49-F238E27FC236}">
                  <a16:creationId xmlns:a16="http://schemas.microsoft.com/office/drawing/2014/main" id="{00000000-0008-0000-1900-00000A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xdr:twoCellAnchor editAs="oneCell">
    <xdr:from>
      <xdr:col>1</xdr:col>
      <xdr:colOff>28575</xdr:colOff>
      <xdr:row>0</xdr:row>
      <xdr:rowOff>19050</xdr:rowOff>
    </xdr:from>
    <xdr:to>
      <xdr:col>1</xdr:col>
      <xdr:colOff>771525</xdr:colOff>
      <xdr:row>4</xdr:row>
      <xdr:rowOff>170890</xdr:rowOff>
    </xdr:to>
    <xdr:pic>
      <xdr:nvPicPr>
        <xdr:cNvPr id="2" name="Picture 12" descr="Wake County Logo">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8575" y="19050"/>
          <a:ext cx="742950" cy="9709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hdsc.nws.noaa.gov/hdsc/pfds/orb/nc_pfds.html"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5.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6.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19.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20.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2.xml"/><Relationship Id="rId1" Type="http://schemas.openxmlformats.org/officeDocument/2006/relationships/printerSettings" Target="../printerSettings/printerSettings23.bin"/><Relationship Id="rId4" Type="http://schemas.openxmlformats.org/officeDocument/2006/relationships/comments" Target="../comments21.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3.xml"/><Relationship Id="rId1" Type="http://schemas.openxmlformats.org/officeDocument/2006/relationships/printerSettings" Target="../printerSettings/printerSettings24.bin"/><Relationship Id="rId4" Type="http://schemas.openxmlformats.org/officeDocument/2006/relationships/comments" Target="../comments22.xml"/></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3.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4.xml"/><Relationship Id="rId1" Type="http://schemas.openxmlformats.org/officeDocument/2006/relationships/printerSettings" Target="../printerSettings/printerSettings2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workbookViewId="0">
      <selection activeCell="A23" sqref="A23"/>
    </sheetView>
  </sheetViews>
  <sheetFormatPr defaultRowHeight="15" x14ac:dyDescent="0.2"/>
  <cols>
    <col min="1" max="1" width="16.88671875" customWidth="1"/>
  </cols>
  <sheetData>
    <row r="1" spans="1:3" x14ac:dyDescent="0.2">
      <c r="A1" s="633" t="s">
        <v>560</v>
      </c>
    </row>
    <row r="2" spans="1:3" x14ac:dyDescent="0.2">
      <c r="A2" s="633" t="s">
        <v>561</v>
      </c>
    </row>
    <row r="3" spans="1:3" x14ac:dyDescent="0.2">
      <c r="A3" s="633" t="s">
        <v>562</v>
      </c>
    </row>
    <row r="4" spans="1:3" x14ac:dyDescent="0.2">
      <c r="A4" s="633" t="s">
        <v>727</v>
      </c>
    </row>
    <row r="5" spans="1:3" x14ac:dyDescent="0.2">
      <c r="A5" s="633" t="s">
        <v>588</v>
      </c>
    </row>
    <row r="6" spans="1:3" x14ac:dyDescent="0.2">
      <c r="A6" s="633" t="s">
        <v>589</v>
      </c>
    </row>
    <row r="7" spans="1:3" x14ac:dyDescent="0.2">
      <c r="A7" s="634" t="s">
        <v>728</v>
      </c>
    </row>
    <row r="8" spans="1:3" x14ac:dyDescent="0.2">
      <c r="A8" t="s">
        <v>729</v>
      </c>
    </row>
    <row r="9" spans="1:3" x14ac:dyDescent="0.2">
      <c r="A9" t="s">
        <v>734</v>
      </c>
    </row>
    <row r="11" spans="1:3" s="652" customFormat="1" x14ac:dyDescent="0.2">
      <c r="A11" s="652" t="s">
        <v>735</v>
      </c>
      <c r="B11" s="653">
        <v>42803</v>
      </c>
    </row>
    <row r="12" spans="1:3" x14ac:dyDescent="0.2">
      <c r="A12" t="s">
        <v>736</v>
      </c>
      <c r="C12" t="s">
        <v>747</v>
      </c>
    </row>
    <row r="13" spans="1:3" x14ac:dyDescent="0.2">
      <c r="A13" s="146" t="s">
        <v>740</v>
      </c>
      <c r="B13" s="654"/>
    </row>
    <row r="14" spans="1:3" x14ac:dyDescent="0.2">
      <c r="A14" t="s">
        <v>742</v>
      </c>
    </row>
    <row r="15" spans="1:3" x14ac:dyDescent="0.2">
      <c r="A15" t="s">
        <v>748</v>
      </c>
    </row>
    <row r="16" spans="1:3" ht="315" x14ac:dyDescent="0.2">
      <c r="A16" s="655" t="s">
        <v>750</v>
      </c>
      <c r="C16" s="4" t="s">
        <v>751</v>
      </c>
    </row>
  </sheetData>
  <sheetProtection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0"/>
    <pageSetUpPr fitToPage="1"/>
  </sheetPr>
  <dimension ref="A1:V107"/>
  <sheetViews>
    <sheetView showRowColHeaders="0" topLeftCell="B19" zoomScale="85" zoomScaleNormal="85" zoomScaleSheetLayoutView="55" workbookViewId="0">
      <selection activeCell="D28" sqref="D28:F28"/>
    </sheetView>
  </sheetViews>
  <sheetFormatPr defaultColWidth="8.88671875" defaultRowHeight="15" x14ac:dyDescent="0.2"/>
  <cols>
    <col min="1" max="1" width="8.88671875" style="156"/>
    <col min="2" max="2" width="3.77734375" style="506" customWidth="1"/>
    <col min="3" max="3" width="8.88671875" style="157"/>
    <col min="4" max="4" width="45.77734375" style="151" customWidth="1"/>
    <col min="5" max="6" width="45.77734375" style="156" customWidth="1"/>
    <col min="7" max="22" width="8.88671875" style="156"/>
    <col min="23" max="16384" width="8.88671875" style="157"/>
  </cols>
  <sheetData>
    <row r="1" spans="1:22" s="147" customFormat="1" ht="43.5" customHeight="1" x14ac:dyDescent="0.2">
      <c r="A1" s="146"/>
      <c r="B1" s="146"/>
      <c r="C1" s="663" t="s">
        <v>495</v>
      </c>
      <c r="D1" s="663"/>
      <c r="E1" s="663"/>
      <c r="F1" s="663"/>
      <c r="G1" s="146"/>
      <c r="H1" s="146"/>
      <c r="I1" s="146"/>
      <c r="J1" s="146"/>
      <c r="K1" s="146"/>
      <c r="L1" s="146"/>
      <c r="M1" s="146"/>
      <c r="N1" s="146"/>
      <c r="O1" s="146"/>
      <c r="P1" s="146"/>
      <c r="Q1" s="146"/>
      <c r="R1" s="146"/>
      <c r="S1" s="146"/>
      <c r="T1" s="146"/>
      <c r="U1" s="146"/>
      <c r="V1" s="146"/>
    </row>
    <row r="2" spans="1:22" s="147" customFormat="1" ht="43.5" customHeight="1" x14ac:dyDescent="0.2">
      <c r="A2" s="146"/>
      <c r="B2" s="146"/>
      <c r="C2" s="148"/>
      <c r="D2" s="148"/>
      <c r="E2" s="146"/>
      <c r="F2" s="146"/>
      <c r="G2" s="146"/>
      <c r="H2" s="146"/>
      <c r="I2" s="146"/>
      <c r="J2" s="146"/>
      <c r="K2" s="146"/>
      <c r="L2" s="146"/>
      <c r="M2" s="146"/>
      <c r="N2" s="146"/>
      <c r="O2" s="146"/>
      <c r="P2" s="146"/>
      <c r="Q2" s="146"/>
      <c r="R2" s="146"/>
      <c r="S2" s="146"/>
      <c r="T2" s="146"/>
      <c r="U2" s="146"/>
      <c r="V2" s="146"/>
    </row>
    <row r="3" spans="1:22" s="147" customFormat="1" ht="66" customHeight="1" x14ac:dyDescent="0.2">
      <c r="A3" s="146"/>
      <c r="B3" s="146"/>
      <c r="C3" s="667" t="s">
        <v>496</v>
      </c>
      <c r="D3" s="667"/>
      <c r="E3" s="667"/>
      <c r="F3" s="667"/>
      <c r="G3" s="146"/>
      <c r="H3" s="146"/>
      <c r="I3" s="146"/>
      <c r="J3" s="146"/>
      <c r="K3" s="146"/>
      <c r="L3" s="146"/>
      <c r="M3" s="146"/>
      <c r="N3" s="146"/>
      <c r="O3" s="146"/>
      <c r="P3" s="146"/>
      <c r="Q3" s="146"/>
      <c r="R3" s="146"/>
      <c r="S3" s="146"/>
      <c r="T3" s="146"/>
      <c r="U3" s="146"/>
      <c r="V3" s="146"/>
    </row>
    <row r="4" spans="1:22" s="152" customFormat="1" ht="16.5" thickBot="1" x14ac:dyDescent="0.25">
      <c r="A4" s="151"/>
      <c r="B4" s="151"/>
      <c r="C4" s="149"/>
      <c r="D4" s="150"/>
      <c r="E4" s="151"/>
      <c r="F4" s="151"/>
      <c r="G4" s="151"/>
      <c r="H4" s="151"/>
      <c r="I4" s="151"/>
      <c r="J4" s="151"/>
      <c r="K4" s="151"/>
      <c r="L4" s="151"/>
      <c r="M4" s="151"/>
      <c r="N4" s="151"/>
      <c r="O4" s="151"/>
      <c r="P4" s="151"/>
      <c r="Q4" s="151"/>
      <c r="R4" s="151"/>
      <c r="S4" s="151"/>
      <c r="T4" s="151"/>
      <c r="U4" s="151"/>
      <c r="V4" s="151"/>
    </row>
    <row r="5" spans="1:22" s="152" customFormat="1" ht="45" customHeight="1" thickTop="1" x14ac:dyDescent="0.2">
      <c r="A5" s="151"/>
      <c r="B5" s="151"/>
      <c r="C5" s="656">
        <v>1</v>
      </c>
      <c r="D5" s="658" t="s">
        <v>484</v>
      </c>
      <c r="E5" s="658"/>
      <c r="F5" s="659"/>
      <c r="G5" s="151"/>
      <c r="H5" s="151"/>
      <c r="I5" s="151"/>
      <c r="J5" s="151"/>
      <c r="K5" s="151"/>
      <c r="L5" s="151"/>
      <c r="M5" s="151"/>
      <c r="N5" s="151"/>
      <c r="O5" s="151"/>
      <c r="P5" s="151"/>
      <c r="Q5" s="151"/>
      <c r="R5" s="151"/>
      <c r="S5" s="151"/>
      <c r="T5" s="151"/>
      <c r="U5" s="151"/>
      <c r="V5" s="151"/>
    </row>
    <row r="6" spans="1:22" s="152" customFormat="1" ht="45" customHeight="1" x14ac:dyDescent="0.2">
      <c r="A6" s="151"/>
      <c r="B6" s="151"/>
      <c r="C6" s="662"/>
      <c r="D6" s="660" t="s">
        <v>467</v>
      </c>
      <c r="E6" s="660"/>
      <c r="F6" s="661"/>
      <c r="G6" s="151"/>
      <c r="H6" s="151"/>
      <c r="I6" s="151"/>
      <c r="J6" s="151"/>
      <c r="K6" s="151"/>
      <c r="L6" s="151"/>
      <c r="M6" s="151"/>
      <c r="N6" s="151"/>
      <c r="O6" s="151"/>
      <c r="P6" s="151"/>
      <c r="Q6" s="151"/>
      <c r="R6" s="151"/>
      <c r="S6" s="151"/>
      <c r="T6" s="151"/>
      <c r="U6" s="151"/>
      <c r="V6" s="151"/>
    </row>
    <row r="7" spans="1:22" s="152" customFormat="1" ht="45" customHeight="1" thickBot="1" x14ac:dyDescent="0.25">
      <c r="A7" s="151"/>
      <c r="B7" s="151"/>
      <c r="C7" s="657"/>
      <c r="D7" s="665" t="s">
        <v>730</v>
      </c>
      <c r="E7" s="665"/>
      <c r="F7" s="666"/>
      <c r="G7" s="151"/>
      <c r="H7" s="151"/>
      <c r="I7" s="151"/>
      <c r="J7" s="151"/>
      <c r="K7" s="151"/>
      <c r="L7" s="151"/>
      <c r="M7" s="151"/>
      <c r="N7" s="151"/>
      <c r="O7" s="151"/>
      <c r="P7" s="151"/>
      <c r="Q7" s="151"/>
      <c r="R7" s="151"/>
      <c r="S7" s="151"/>
      <c r="T7" s="151"/>
      <c r="U7" s="151"/>
      <c r="V7" s="151"/>
    </row>
    <row r="8" spans="1:22" s="152" customFormat="1" ht="45" customHeight="1" thickTop="1" x14ac:dyDescent="0.2">
      <c r="A8" s="151"/>
      <c r="B8" s="151"/>
      <c r="C8" s="656">
        <v>2</v>
      </c>
      <c r="D8" s="658" t="s">
        <v>468</v>
      </c>
      <c r="E8" s="658"/>
      <c r="F8" s="659"/>
      <c r="G8" s="151"/>
      <c r="H8" s="151"/>
      <c r="I8" s="151"/>
      <c r="J8" s="151"/>
      <c r="K8" s="151"/>
      <c r="L8" s="151"/>
      <c r="M8" s="151"/>
      <c r="N8" s="151"/>
      <c r="O8" s="151"/>
      <c r="P8" s="151"/>
      <c r="Q8" s="151"/>
      <c r="R8" s="151"/>
      <c r="S8" s="151"/>
      <c r="T8" s="151"/>
      <c r="U8" s="151"/>
      <c r="V8" s="151"/>
    </row>
    <row r="9" spans="1:22" s="152" customFormat="1" ht="45" customHeight="1" x14ac:dyDescent="0.2">
      <c r="A9" s="151"/>
      <c r="B9" s="151"/>
      <c r="C9" s="662"/>
      <c r="D9" s="660" t="s">
        <v>469</v>
      </c>
      <c r="E9" s="660"/>
      <c r="F9" s="661"/>
      <c r="G9" s="151"/>
      <c r="H9" s="151"/>
      <c r="I9" s="151"/>
      <c r="J9" s="151"/>
      <c r="K9" s="151"/>
      <c r="L9" s="151"/>
      <c r="M9" s="151"/>
      <c r="N9" s="151"/>
      <c r="O9" s="151"/>
      <c r="P9" s="151"/>
      <c r="Q9" s="151"/>
      <c r="R9" s="151"/>
      <c r="S9" s="151"/>
      <c r="T9" s="151"/>
      <c r="U9" s="151"/>
      <c r="V9" s="151"/>
    </row>
    <row r="10" spans="1:22" s="152" customFormat="1" ht="45" customHeight="1" x14ac:dyDescent="0.2">
      <c r="A10" s="151"/>
      <c r="B10" s="151"/>
      <c r="C10" s="662"/>
      <c r="D10" s="660" t="s">
        <v>470</v>
      </c>
      <c r="E10" s="660"/>
      <c r="F10" s="661"/>
      <c r="G10" s="151"/>
      <c r="H10" s="151"/>
      <c r="I10" s="151"/>
      <c r="J10" s="151"/>
      <c r="K10" s="151"/>
      <c r="L10" s="151"/>
      <c r="M10" s="151"/>
      <c r="N10" s="151"/>
      <c r="O10" s="151"/>
      <c r="P10" s="151"/>
      <c r="Q10" s="151"/>
      <c r="R10" s="151"/>
      <c r="S10" s="151"/>
      <c r="T10" s="151"/>
      <c r="U10" s="151"/>
      <c r="V10" s="151"/>
    </row>
    <row r="11" spans="1:22" s="152" customFormat="1" ht="45" customHeight="1" thickBot="1" x14ac:dyDescent="0.25">
      <c r="A11" s="151"/>
      <c r="B11" s="151"/>
      <c r="C11" s="657"/>
      <c r="D11" s="665" t="s">
        <v>471</v>
      </c>
      <c r="E11" s="665"/>
      <c r="F11" s="666"/>
      <c r="G11" s="151"/>
      <c r="H11" s="151"/>
      <c r="I11" s="151"/>
      <c r="J11" s="151"/>
      <c r="K11" s="151"/>
      <c r="L11" s="151"/>
      <c r="M11" s="151"/>
      <c r="N11" s="151"/>
      <c r="O11" s="151"/>
      <c r="P11" s="151"/>
      <c r="Q11" s="151"/>
      <c r="R11" s="151"/>
      <c r="S11" s="151"/>
      <c r="T11" s="151"/>
      <c r="U11" s="151"/>
      <c r="V11" s="151"/>
    </row>
    <row r="12" spans="1:22" s="152" customFormat="1" ht="45" customHeight="1" thickTop="1" x14ac:dyDescent="0.2">
      <c r="A12" s="151"/>
      <c r="B12" s="151"/>
      <c r="C12" s="656">
        <v>3</v>
      </c>
      <c r="D12" s="658" t="s">
        <v>731</v>
      </c>
      <c r="E12" s="658"/>
      <c r="F12" s="659"/>
      <c r="G12" s="151"/>
      <c r="H12" s="151"/>
      <c r="I12" s="151"/>
      <c r="J12" s="151"/>
      <c r="K12" s="151"/>
      <c r="L12" s="151"/>
      <c r="M12" s="151"/>
      <c r="N12" s="151"/>
      <c r="O12" s="151"/>
      <c r="P12" s="151"/>
      <c r="Q12" s="151"/>
      <c r="R12" s="151"/>
      <c r="S12" s="151"/>
      <c r="T12" s="151"/>
      <c r="U12" s="151"/>
      <c r="V12" s="151"/>
    </row>
    <row r="13" spans="1:22" s="152" customFormat="1" ht="45" customHeight="1" x14ac:dyDescent="0.2">
      <c r="A13" s="151"/>
      <c r="B13" s="151"/>
      <c r="C13" s="662"/>
      <c r="D13" s="660" t="s">
        <v>472</v>
      </c>
      <c r="E13" s="660"/>
      <c r="F13" s="661"/>
      <c r="G13" s="151"/>
      <c r="H13" s="151"/>
      <c r="I13" s="151"/>
      <c r="J13" s="151"/>
      <c r="K13" s="151"/>
      <c r="L13" s="151"/>
      <c r="M13" s="151"/>
      <c r="N13" s="151"/>
      <c r="O13" s="151"/>
      <c r="P13" s="151"/>
      <c r="Q13" s="151"/>
      <c r="R13" s="151"/>
      <c r="S13" s="151"/>
      <c r="T13" s="151"/>
      <c r="U13" s="151"/>
      <c r="V13" s="151"/>
    </row>
    <row r="14" spans="1:22" s="152" customFormat="1" ht="45" customHeight="1" x14ac:dyDescent="0.2">
      <c r="A14" s="151"/>
      <c r="B14" s="151"/>
      <c r="C14" s="662"/>
      <c r="D14" s="660" t="s">
        <v>738</v>
      </c>
      <c r="E14" s="660"/>
      <c r="F14" s="661"/>
      <c r="G14" s="151"/>
      <c r="H14" s="151"/>
      <c r="I14" s="151"/>
      <c r="J14" s="151"/>
      <c r="K14" s="151"/>
      <c r="L14" s="151"/>
      <c r="M14" s="151"/>
      <c r="N14" s="151"/>
      <c r="O14" s="151"/>
      <c r="P14" s="151"/>
      <c r="Q14" s="151"/>
      <c r="R14" s="151"/>
      <c r="S14" s="151"/>
      <c r="T14" s="151"/>
      <c r="U14" s="151"/>
      <c r="V14" s="151"/>
    </row>
    <row r="15" spans="1:22" s="154" customFormat="1" ht="45" customHeight="1" thickBot="1" x14ac:dyDescent="0.25">
      <c r="A15" s="153"/>
      <c r="B15" s="153"/>
      <c r="C15" s="657"/>
      <c r="D15" s="665" t="s">
        <v>473</v>
      </c>
      <c r="E15" s="665"/>
      <c r="F15" s="666"/>
      <c r="G15" s="153"/>
      <c r="H15" s="153"/>
      <c r="I15" s="153"/>
      <c r="J15" s="153"/>
      <c r="K15" s="153"/>
      <c r="L15" s="153"/>
      <c r="M15" s="153"/>
      <c r="N15" s="153"/>
      <c r="O15" s="153"/>
      <c r="P15" s="153"/>
      <c r="Q15" s="153"/>
      <c r="R15" s="153"/>
      <c r="S15" s="153"/>
      <c r="T15" s="153"/>
      <c r="U15" s="153"/>
      <c r="V15" s="153"/>
    </row>
    <row r="16" spans="1:22" s="154" customFormat="1" ht="45" customHeight="1" thickTop="1" x14ac:dyDescent="0.2">
      <c r="A16" s="153"/>
      <c r="B16" s="153"/>
      <c r="C16" s="656">
        <v>4</v>
      </c>
      <c r="D16" s="658" t="s">
        <v>474</v>
      </c>
      <c r="E16" s="658"/>
      <c r="F16" s="659"/>
      <c r="G16" s="153"/>
      <c r="H16" s="153"/>
      <c r="I16" s="153"/>
      <c r="J16" s="153"/>
      <c r="K16" s="153"/>
      <c r="L16" s="153"/>
      <c r="M16" s="153"/>
      <c r="N16" s="153"/>
      <c r="O16" s="153"/>
      <c r="P16" s="153"/>
      <c r="Q16" s="153"/>
      <c r="R16" s="153"/>
      <c r="S16" s="153"/>
      <c r="T16" s="153"/>
      <c r="U16" s="153"/>
      <c r="V16" s="153"/>
    </row>
    <row r="17" spans="1:22" s="154" customFormat="1" ht="45" customHeight="1" x14ac:dyDescent="0.2">
      <c r="A17" s="153"/>
      <c r="B17" s="153"/>
      <c r="C17" s="662"/>
      <c r="D17" s="660" t="s">
        <v>481</v>
      </c>
      <c r="E17" s="660"/>
      <c r="F17" s="661"/>
      <c r="G17" s="153"/>
      <c r="H17" s="153"/>
      <c r="I17" s="153"/>
      <c r="J17" s="153"/>
      <c r="K17" s="153"/>
      <c r="L17" s="153"/>
      <c r="M17" s="153"/>
      <c r="N17" s="153"/>
      <c r="O17" s="153"/>
      <c r="P17" s="153"/>
      <c r="Q17" s="153"/>
      <c r="R17" s="153"/>
      <c r="S17" s="153"/>
      <c r="T17" s="153"/>
      <c r="U17" s="153"/>
      <c r="V17" s="153"/>
    </row>
    <row r="18" spans="1:22" s="154" customFormat="1" ht="107.25" customHeight="1" x14ac:dyDescent="0.2">
      <c r="A18" s="153"/>
      <c r="B18" s="153"/>
      <c r="C18" s="662"/>
      <c r="D18" s="660" t="s">
        <v>475</v>
      </c>
      <c r="E18" s="660"/>
      <c r="F18" s="661"/>
      <c r="G18" s="153"/>
      <c r="H18" s="153"/>
      <c r="I18" s="153"/>
      <c r="J18" s="153"/>
      <c r="K18" s="153"/>
      <c r="L18" s="153"/>
      <c r="M18" s="153"/>
      <c r="N18" s="153"/>
      <c r="O18" s="153"/>
      <c r="P18" s="153"/>
      <c r="Q18" s="153"/>
      <c r="R18" s="153"/>
      <c r="S18" s="153"/>
      <c r="T18" s="153"/>
      <c r="U18" s="153"/>
      <c r="V18" s="153"/>
    </row>
    <row r="19" spans="1:22" s="154" customFormat="1" ht="45" customHeight="1" x14ac:dyDescent="0.2">
      <c r="A19" s="153"/>
      <c r="B19" s="153"/>
      <c r="C19" s="662"/>
      <c r="D19" s="660" t="s">
        <v>732</v>
      </c>
      <c r="E19" s="660"/>
      <c r="F19" s="661"/>
      <c r="G19" s="153"/>
      <c r="H19" s="153"/>
      <c r="I19" s="153"/>
      <c r="J19" s="153"/>
      <c r="K19" s="153"/>
      <c r="L19" s="153"/>
      <c r="M19" s="153"/>
      <c r="N19" s="153"/>
      <c r="O19" s="153"/>
      <c r="P19" s="153"/>
      <c r="Q19" s="153"/>
      <c r="R19" s="153"/>
      <c r="S19" s="153"/>
      <c r="T19" s="153"/>
      <c r="U19" s="153"/>
      <c r="V19" s="153"/>
    </row>
    <row r="20" spans="1:22" s="154" customFormat="1" ht="69.75" customHeight="1" thickBot="1" x14ac:dyDescent="0.25">
      <c r="A20" s="153"/>
      <c r="B20" s="153"/>
      <c r="C20" s="657"/>
      <c r="D20" s="665" t="s">
        <v>476</v>
      </c>
      <c r="E20" s="665"/>
      <c r="F20" s="666"/>
      <c r="G20" s="153"/>
      <c r="H20" s="153"/>
      <c r="I20" s="153"/>
      <c r="J20" s="153"/>
      <c r="K20" s="153"/>
      <c r="L20" s="153"/>
      <c r="M20" s="153"/>
      <c r="N20" s="153"/>
      <c r="O20" s="153"/>
      <c r="P20" s="153"/>
      <c r="Q20" s="153"/>
      <c r="R20" s="153"/>
      <c r="S20" s="153"/>
      <c r="T20" s="153"/>
      <c r="U20" s="153"/>
      <c r="V20" s="153"/>
    </row>
    <row r="21" spans="1:22" s="152" customFormat="1" ht="45" customHeight="1" thickTop="1" x14ac:dyDescent="0.2">
      <c r="A21" s="151"/>
      <c r="B21" s="151"/>
      <c r="C21" s="656">
        <v>5</v>
      </c>
      <c r="D21" s="658" t="s">
        <v>497</v>
      </c>
      <c r="E21" s="658"/>
      <c r="F21" s="659"/>
      <c r="G21" s="151"/>
      <c r="H21" s="151"/>
      <c r="I21" s="151"/>
      <c r="J21" s="151"/>
      <c r="K21" s="151"/>
      <c r="L21" s="151"/>
      <c r="M21" s="151"/>
      <c r="N21" s="151"/>
      <c r="O21" s="151"/>
      <c r="P21" s="151"/>
      <c r="Q21" s="151"/>
      <c r="R21" s="151"/>
      <c r="S21" s="151"/>
      <c r="T21" s="151"/>
      <c r="U21" s="151"/>
      <c r="V21" s="151"/>
    </row>
    <row r="22" spans="1:22" s="152" customFormat="1" ht="45" customHeight="1" x14ac:dyDescent="0.2">
      <c r="A22" s="151"/>
      <c r="B22" s="151"/>
      <c r="C22" s="662"/>
      <c r="D22" s="660" t="s">
        <v>752</v>
      </c>
      <c r="E22" s="660"/>
      <c r="F22" s="661"/>
      <c r="G22" s="151"/>
      <c r="H22" s="151"/>
      <c r="I22" s="151"/>
      <c r="J22" s="151"/>
      <c r="K22" s="151"/>
      <c r="L22" s="151"/>
      <c r="M22" s="151"/>
      <c r="N22" s="151"/>
      <c r="O22" s="151"/>
      <c r="P22" s="151"/>
      <c r="Q22" s="151"/>
      <c r="R22" s="151"/>
      <c r="S22" s="151"/>
      <c r="T22" s="151"/>
      <c r="U22" s="151"/>
      <c r="V22" s="151"/>
    </row>
    <row r="23" spans="1:22" s="154" customFormat="1" ht="45" customHeight="1" thickBot="1" x14ac:dyDescent="0.25">
      <c r="A23" s="153"/>
      <c r="B23" s="153"/>
      <c r="C23" s="657"/>
      <c r="D23" s="665" t="s">
        <v>498</v>
      </c>
      <c r="E23" s="665"/>
      <c r="F23" s="666"/>
      <c r="G23" s="153"/>
      <c r="H23" s="153"/>
      <c r="I23" s="153"/>
      <c r="J23" s="153"/>
      <c r="K23" s="153"/>
      <c r="L23" s="153"/>
      <c r="M23" s="153"/>
      <c r="N23" s="153"/>
      <c r="O23" s="153"/>
      <c r="P23" s="153"/>
      <c r="Q23" s="153"/>
      <c r="R23" s="153"/>
      <c r="S23" s="153"/>
      <c r="T23" s="153"/>
      <c r="U23" s="153"/>
      <c r="V23" s="153"/>
    </row>
    <row r="24" spans="1:22" s="154" customFormat="1" ht="45" customHeight="1" thickTop="1" x14ac:dyDescent="0.2">
      <c r="A24" s="153"/>
      <c r="B24" s="153"/>
      <c r="C24" s="656">
        <v>6</v>
      </c>
      <c r="D24" s="658" t="s">
        <v>477</v>
      </c>
      <c r="E24" s="658"/>
      <c r="F24" s="659"/>
      <c r="G24" s="153"/>
      <c r="H24" s="153"/>
      <c r="I24" s="153"/>
      <c r="J24" s="153"/>
      <c r="K24" s="153"/>
      <c r="L24" s="153"/>
      <c r="M24" s="153"/>
      <c r="N24" s="153"/>
      <c r="O24" s="153"/>
      <c r="P24" s="153"/>
      <c r="Q24" s="153"/>
      <c r="R24" s="153"/>
      <c r="S24" s="153"/>
      <c r="T24" s="153"/>
      <c r="U24" s="153"/>
      <c r="V24" s="153"/>
    </row>
    <row r="25" spans="1:22" s="154" customFormat="1" ht="45" customHeight="1" x14ac:dyDescent="0.2">
      <c r="A25" s="153"/>
      <c r="B25" s="153"/>
      <c r="C25" s="662"/>
      <c r="D25" s="660" t="s">
        <v>478</v>
      </c>
      <c r="E25" s="660"/>
      <c r="F25" s="661"/>
      <c r="G25" s="153"/>
      <c r="H25" s="153"/>
      <c r="I25" s="153"/>
      <c r="J25" s="153"/>
      <c r="K25" s="153"/>
      <c r="L25" s="153"/>
      <c r="M25" s="153"/>
      <c r="N25" s="153"/>
      <c r="O25" s="153"/>
      <c r="P25" s="153"/>
      <c r="Q25" s="153"/>
      <c r="R25" s="153"/>
      <c r="S25" s="153"/>
      <c r="T25" s="153"/>
      <c r="U25" s="153"/>
      <c r="V25" s="153"/>
    </row>
    <row r="26" spans="1:22" s="154" customFormat="1" ht="45" customHeight="1" thickBot="1" x14ac:dyDescent="0.25">
      <c r="A26" s="153"/>
      <c r="B26" s="153"/>
      <c r="C26" s="657"/>
      <c r="D26" s="665" t="s">
        <v>479</v>
      </c>
      <c r="E26" s="665"/>
      <c r="F26" s="666"/>
      <c r="G26" s="153"/>
      <c r="H26" s="153"/>
      <c r="I26" s="153"/>
      <c r="J26" s="153"/>
      <c r="K26" s="153"/>
      <c r="L26" s="153"/>
      <c r="M26" s="153"/>
      <c r="N26" s="153"/>
      <c r="O26" s="153"/>
      <c r="P26" s="153"/>
      <c r="Q26" s="153"/>
      <c r="R26" s="153"/>
      <c r="S26" s="153"/>
      <c r="T26" s="153"/>
      <c r="U26" s="153"/>
      <c r="V26" s="153"/>
    </row>
    <row r="27" spans="1:22" s="154" customFormat="1" ht="70.5" customHeight="1" thickTop="1" x14ac:dyDescent="0.2">
      <c r="A27" s="153"/>
      <c r="B27" s="153"/>
      <c r="C27" s="656">
        <v>7</v>
      </c>
      <c r="D27" s="658" t="s">
        <v>482</v>
      </c>
      <c r="E27" s="658"/>
      <c r="F27" s="659"/>
      <c r="G27" s="153"/>
      <c r="H27" s="153"/>
      <c r="I27" s="153"/>
      <c r="J27" s="153"/>
      <c r="K27" s="153"/>
      <c r="L27" s="153"/>
      <c r="M27" s="153"/>
      <c r="N27" s="153"/>
      <c r="O27" s="153"/>
      <c r="P27" s="153"/>
      <c r="Q27" s="153"/>
      <c r="R27" s="153"/>
      <c r="S27" s="153"/>
      <c r="T27" s="153"/>
      <c r="U27" s="153"/>
      <c r="V27" s="153"/>
    </row>
    <row r="28" spans="1:22" s="154" customFormat="1" ht="70.5" customHeight="1" thickBot="1" x14ac:dyDescent="0.25">
      <c r="A28" s="153"/>
      <c r="B28" s="153"/>
      <c r="C28" s="657"/>
      <c r="D28" s="665" t="s">
        <v>480</v>
      </c>
      <c r="E28" s="665"/>
      <c r="F28" s="666"/>
      <c r="G28" s="153"/>
      <c r="H28" s="153"/>
      <c r="I28" s="153"/>
      <c r="J28" s="153"/>
      <c r="K28" s="153"/>
      <c r="L28" s="153"/>
      <c r="M28" s="153"/>
      <c r="N28" s="153"/>
      <c r="O28" s="153"/>
      <c r="P28" s="153"/>
      <c r="Q28" s="153"/>
      <c r="R28" s="153"/>
      <c r="S28" s="153"/>
      <c r="T28" s="153"/>
      <c r="U28" s="153"/>
      <c r="V28" s="153"/>
    </row>
    <row r="29" spans="1:22" ht="15.75" thickTop="1" x14ac:dyDescent="0.2">
      <c r="C29" s="156"/>
      <c r="D29" s="664"/>
    </row>
    <row r="30" spans="1:22" x14ac:dyDescent="0.2">
      <c r="C30" s="156"/>
      <c r="D30" s="664"/>
    </row>
    <row r="31" spans="1:22" ht="15.75" customHeight="1" x14ac:dyDescent="0.2">
      <c r="C31" s="156"/>
      <c r="D31" s="146"/>
    </row>
    <row r="32" spans="1:22" ht="15.75" customHeight="1" x14ac:dyDescent="0.2">
      <c r="C32" s="156"/>
    </row>
    <row r="33" spans="3:3" ht="15.75" customHeight="1" x14ac:dyDescent="0.2">
      <c r="C33" s="156"/>
    </row>
    <row r="34" spans="3:3" ht="15.75" customHeight="1" x14ac:dyDescent="0.2">
      <c r="C34" s="156"/>
    </row>
    <row r="35" spans="3:3" ht="15.75" customHeight="1" x14ac:dyDescent="0.2">
      <c r="C35" s="156"/>
    </row>
    <row r="36" spans="3:3" ht="15.75" customHeight="1" x14ac:dyDescent="0.2">
      <c r="C36" s="156"/>
    </row>
    <row r="37" spans="3:3" ht="15.75" customHeight="1" x14ac:dyDescent="0.2">
      <c r="C37" s="156"/>
    </row>
    <row r="38" spans="3:3" ht="15.75" customHeight="1" x14ac:dyDescent="0.2">
      <c r="C38" s="156"/>
    </row>
    <row r="39" spans="3:3" ht="15.75" customHeight="1" x14ac:dyDescent="0.2">
      <c r="C39" s="156"/>
    </row>
    <row r="40" spans="3:3" ht="15.75" customHeight="1" x14ac:dyDescent="0.2">
      <c r="C40" s="156"/>
    </row>
    <row r="41" spans="3:3" ht="15.75" customHeight="1" x14ac:dyDescent="0.2">
      <c r="C41" s="156"/>
    </row>
    <row r="42" spans="3:3" ht="15.75" customHeight="1" x14ac:dyDescent="0.2">
      <c r="C42" s="156"/>
    </row>
    <row r="43" spans="3:3" ht="15.75" customHeight="1" x14ac:dyDescent="0.2">
      <c r="C43" s="156"/>
    </row>
    <row r="44" spans="3:3" ht="15.75" customHeight="1" x14ac:dyDescent="0.2">
      <c r="C44" s="156"/>
    </row>
    <row r="45" spans="3:3" ht="15.75" customHeight="1" x14ac:dyDescent="0.2">
      <c r="C45" s="156"/>
    </row>
    <row r="46" spans="3:3" x14ac:dyDescent="0.2">
      <c r="C46" s="156"/>
    </row>
    <row r="47" spans="3:3" x14ac:dyDescent="0.2">
      <c r="C47" s="156"/>
    </row>
    <row r="48" spans="3:3" x14ac:dyDescent="0.2">
      <c r="C48" s="156"/>
    </row>
    <row r="49" spans="3:3" ht="15.75" customHeight="1" x14ac:dyDescent="0.2">
      <c r="C49" s="156"/>
    </row>
    <row r="50" spans="3:3" ht="15.75" customHeight="1" x14ac:dyDescent="0.2">
      <c r="C50" s="156"/>
    </row>
    <row r="51" spans="3:3" ht="15.75" customHeight="1" x14ac:dyDescent="0.2">
      <c r="C51" s="156"/>
    </row>
    <row r="52" spans="3:3" ht="15.75" customHeight="1" x14ac:dyDescent="0.2">
      <c r="C52" s="156"/>
    </row>
    <row r="53" spans="3:3" ht="15.75" customHeight="1" x14ac:dyDescent="0.2">
      <c r="C53" s="156"/>
    </row>
    <row r="54" spans="3:3" ht="15.75" customHeight="1" x14ac:dyDescent="0.2">
      <c r="C54" s="156"/>
    </row>
    <row r="55" spans="3:3" ht="15.75" customHeight="1" x14ac:dyDescent="0.2">
      <c r="C55" s="156"/>
    </row>
    <row r="56" spans="3:3" ht="15.75" customHeight="1" x14ac:dyDescent="0.2">
      <c r="C56" s="156"/>
    </row>
    <row r="57" spans="3:3" x14ac:dyDescent="0.2">
      <c r="C57" s="156"/>
    </row>
    <row r="58" spans="3:3" x14ac:dyDescent="0.2">
      <c r="C58" s="156"/>
    </row>
    <row r="59" spans="3:3" x14ac:dyDescent="0.2">
      <c r="C59" s="156"/>
    </row>
    <row r="60" spans="3:3" x14ac:dyDescent="0.2">
      <c r="C60" s="156"/>
    </row>
    <row r="61" spans="3:3" x14ac:dyDescent="0.2">
      <c r="C61" s="156"/>
    </row>
    <row r="62" spans="3:3" x14ac:dyDescent="0.2">
      <c r="C62" s="156"/>
    </row>
    <row r="63" spans="3:3" x14ac:dyDescent="0.2">
      <c r="C63" s="156"/>
    </row>
    <row r="64" spans="3:3" x14ac:dyDescent="0.2">
      <c r="C64" s="156"/>
    </row>
    <row r="65" spans="3:3" x14ac:dyDescent="0.2">
      <c r="C65" s="156"/>
    </row>
    <row r="66" spans="3:3" x14ac:dyDescent="0.2">
      <c r="C66" s="156"/>
    </row>
    <row r="67" spans="3:3" x14ac:dyDescent="0.2">
      <c r="C67" s="156"/>
    </row>
    <row r="68" spans="3:3" x14ac:dyDescent="0.2">
      <c r="C68" s="156"/>
    </row>
    <row r="69" spans="3:3" x14ac:dyDescent="0.2">
      <c r="C69" s="156"/>
    </row>
    <row r="70" spans="3:3" x14ac:dyDescent="0.2">
      <c r="C70" s="156"/>
    </row>
    <row r="71" spans="3:3" x14ac:dyDescent="0.2">
      <c r="C71" s="156"/>
    </row>
    <row r="72" spans="3:3" x14ac:dyDescent="0.2">
      <c r="C72" s="156"/>
    </row>
    <row r="73" spans="3:3" x14ac:dyDescent="0.2">
      <c r="C73" s="156"/>
    </row>
    <row r="74" spans="3:3" x14ac:dyDescent="0.2">
      <c r="C74" s="156"/>
    </row>
    <row r="75" spans="3:3" x14ac:dyDescent="0.2">
      <c r="C75" s="156"/>
    </row>
    <row r="76" spans="3:3" x14ac:dyDescent="0.2">
      <c r="C76" s="156"/>
    </row>
    <row r="77" spans="3:3" x14ac:dyDescent="0.2">
      <c r="C77" s="156"/>
    </row>
    <row r="78" spans="3:3" x14ac:dyDescent="0.2">
      <c r="C78" s="156"/>
    </row>
    <row r="79" spans="3:3" x14ac:dyDescent="0.2">
      <c r="C79" s="156"/>
    </row>
    <row r="80" spans="3:3" x14ac:dyDescent="0.2">
      <c r="C80" s="156"/>
    </row>
    <row r="81" spans="3:3" x14ac:dyDescent="0.2">
      <c r="C81" s="156"/>
    </row>
    <row r="82" spans="3:3" x14ac:dyDescent="0.2">
      <c r="C82" s="156"/>
    </row>
    <row r="83" spans="3:3" x14ac:dyDescent="0.2">
      <c r="C83" s="156"/>
    </row>
    <row r="84" spans="3:3" x14ac:dyDescent="0.2">
      <c r="C84" s="156"/>
    </row>
    <row r="85" spans="3:3" x14ac:dyDescent="0.2">
      <c r="C85" s="156"/>
    </row>
    <row r="86" spans="3:3" x14ac:dyDescent="0.2">
      <c r="C86" s="156"/>
    </row>
    <row r="87" spans="3:3" x14ac:dyDescent="0.2">
      <c r="C87" s="156"/>
    </row>
    <row r="88" spans="3:3" x14ac:dyDescent="0.2">
      <c r="C88" s="156"/>
    </row>
    <row r="89" spans="3:3" x14ac:dyDescent="0.2">
      <c r="C89" s="156"/>
    </row>
    <row r="90" spans="3:3" x14ac:dyDescent="0.2">
      <c r="C90" s="156"/>
    </row>
    <row r="91" spans="3:3" x14ac:dyDescent="0.2">
      <c r="C91" s="156"/>
    </row>
    <row r="92" spans="3:3" x14ac:dyDescent="0.2">
      <c r="C92" s="156"/>
    </row>
    <row r="93" spans="3:3" x14ac:dyDescent="0.2">
      <c r="C93" s="156"/>
    </row>
    <row r="94" spans="3:3" x14ac:dyDescent="0.2">
      <c r="C94" s="156"/>
    </row>
    <row r="95" spans="3:3" x14ac:dyDescent="0.2">
      <c r="C95" s="156"/>
    </row>
    <row r="96" spans="3:3" x14ac:dyDescent="0.2">
      <c r="C96" s="156"/>
    </row>
    <row r="97" spans="3:3" x14ac:dyDescent="0.2">
      <c r="C97" s="156"/>
    </row>
    <row r="98" spans="3:3" x14ac:dyDescent="0.2">
      <c r="C98" s="156"/>
    </row>
    <row r="99" spans="3:3" x14ac:dyDescent="0.2">
      <c r="C99" s="156"/>
    </row>
    <row r="100" spans="3:3" x14ac:dyDescent="0.2">
      <c r="C100" s="156"/>
    </row>
    <row r="101" spans="3:3" x14ac:dyDescent="0.2">
      <c r="C101" s="156"/>
    </row>
    <row r="102" spans="3:3" x14ac:dyDescent="0.2">
      <c r="C102" s="156"/>
    </row>
    <row r="103" spans="3:3" x14ac:dyDescent="0.2">
      <c r="C103" s="156"/>
    </row>
    <row r="104" spans="3:3" x14ac:dyDescent="0.2">
      <c r="C104" s="156"/>
    </row>
    <row r="105" spans="3:3" x14ac:dyDescent="0.2">
      <c r="C105" s="156"/>
    </row>
    <row r="106" spans="3:3" x14ac:dyDescent="0.2">
      <c r="C106" s="156"/>
    </row>
    <row r="107" spans="3:3" x14ac:dyDescent="0.2">
      <c r="C107" s="156"/>
    </row>
  </sheetData>
  <sheetProtection password="E421" sheet="1" objects="1" scenarios="1"/>
  <mergeCells count="34">
    <mergeCell ref="D10:F10"/>
    <mergeCell ref="C8:C11"/>
    <mergeCell ref="D23:F23"/>
    <mergeCell ref="D24:F24"/>
    <mergeCell ref="C3:F3"/>
    <mergeCell ref="C12:C15"/>
    <mergeCell ref="C1:F1"/>
    <mergeCell ref="D29:D30"/>
    <mergeCell ref="D7:F7"/>
    <mergeCell ref="D11:F11"/>
    <mergeCell ref="D15:F15"/>
    <mergeCell ref="D20:F20"/>
    <mergeCell ref="D26:F26"/>
    <mergeCell ref="D28:F28"/>
    <mergeCell ref="C5:C7"/>
    <mergeCell ref="D5:F5"/>
    <mergeCell ref="D6:F6"/>
    <mergeCell ref="D8:F8"/>
    <mergeCell ref="D9:F9"/>
    <mergeCell ref="D25:F25"/>
    <mergeCell ref="C24:C26"/>
    <mergeCell ref="D27:F27"/>
    <mergeCell ref="C27:C28"/>
    <mergeCell ref="D12:F12"/>
    <mergeCell ref="D13:F13"/>
    <mergeCell ref="D14:F14"/>
    <mergeCell ref="C16:C20"/>
    <mergeCell ref="D16:F16"/>
    <mergeCell ref="D17:F17"/>
    <mergeCell ref="D18:F18"/>
    <mergeCell ref="D19:F19"/>
    <mergeCell ref="C21:C23"/>
    <mergeCell ref="D21:F21"/>
    <mergeCell ref="D22:F22"/>
  </mergeCells>
  <printOptions horizontalCentered="1"/>
  <pageMargins left="0.7" right="0.7" top="0.75" bottom="0.75" header="0.3" footer="0.3"/>
  <pageSetup scale="49" orientation="portrait" r:id="rId1"/>
  <headerFooter>
    <oddFooter>&amp;A&amp;RPage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B050"/>
    <pageSetUpPr fitToPage="1"/>
  </sheetPr>
  <dimension ref="A1:BL230"/>
  <sheetViews>
    <sheetView showGridLines="0" tabSelected="1" zoomScale="70" zoomScaleNormal="70" zoomScaleSheetLayoutView="85" workbookViewId="0">
      <selection activeCell="F9" sqref="F9:M9"/>
    </sheetView>
  </sheetViews>
  <sheetFormatPr defaultRowHeight="15" x14ac:dyDescent="0.2"/>
  <cols>
    <col min="1" max="1" width="3.77734375" style="139" customWidth="1"/>
    <col min="2" max="2" width="13.77734375" style="295" customWidth="1"/>
    <col min="3" max="5" width="16.77734375" style="295" customWidth="1"/>
    <col min="6" max="7" width="15.77734375" style="295" customWidth="1"/>
    <col min="8" max="8" width="18" style="295" customWidth="1"/>
    <col min="9" max="13" width="8.88671875" style="295"/>
    <col min="14" max="64" width="8.88671875" style="139"/>
    <col min="65" max="16384" width="8.88671875" style="295"/>
  </cols>
  <sheetData>
    <row r="1" spans="1:64" ht="15" customHeight="1" x14ac:dyDescent="0.2">
      <c r="B1" s="720" t="s">
        <v>483</v>
      </c>
      <c r="C1" s="720"/>
      <c r="D1" s="720"/>
      <c r="E1" s="720"/>
      <c r="F1" s="720"/>
      <c r="G1" s="720"/>
      <c r="H1" s="720"/>
      <c r="I1" s="720"/>
      <c r="J1" s="720"/>
      <c r="K1" s="720"/>
      <c r="L1" s="720"/>
      <c r="M1" s="720"/>
    </row>
    <row r="2" spans="1:64" ht="15" customHeight="1" x14ac:dyDescent="0.2">
      <c r="B2" s="720"/>
      <c r="C2" s="720"/>
      <c r="D2" s="720"/>
      <c r="E2" s="720"/>
      <c r="F2" s="720"/>
      <c r="G2" s="720"/>
      <c r="H2" s="720"/>
      <c r="I2" s="720"/>
      <c r="J2" s="720"/>
      <c r="K2" s="720"/>
      <c r="L2" s="720"/>
      <c r="M2" s="720"/>
    </row>
    <row r="3" spans="1:64" ht="15" customHeight="1" x14ac:dyDescent="0.2">
      <c r="B3" s="720"/>
      <c r="C3" s="720"/>
      <c r="D3" s="720"/>
      <c r="E3" s="720"/>
      <c r="F3" s="720"/>
      <c r="G3" s="720"/>
      <c r="H3" s="720"/>
      <c r="I3" s="720"/>
      <c r="J3" s="720"/>
      <c r="K3" s="720"/>
      <c r="L3" s="720"/>
      <c r="M3" s="720"/>
    </row>
    <row r="4" spans="1:64" ht="15" customHeight="1" x14ac:dyDescent="0.2">
      <c r="B4" s="720"/>
      <c r="C4" s="720"/>
      <c r="D4" s="720"/>
      <c r="E4" s="720"/>
      <c r="F4" s="720"/>
      <c r="G4" s="720"/>
      <c r="H4" s="720"/>
      <c r="I4" s="720"/>
      <c r="J4" s="720"/>
      <c r="K4" s="720"/>
      <c r="L4" s="720"/>
      <c r="M4" s="720"/>
    </row>
    <row r="5" spans="1:64" ht="15" customHeight="1" x14ac:dyDescent="0.2">
      <c r="B5" s="720"/>
      <c r="C5" s="720"/>
      <c r="D5" s="720"/>
      <c r="E5" s="720"/>
      <c r="F5" s="720"/>
      <c r="G5" s="720"/>
      <c r="H5" s="720"/>
      <c r="I5" s="720"/>
      <c r="J5" s="720"/>
      <c r="K5" s="720"/>
      <c r="L5" s="720"/>
      <c r="M5" s="720"/>
    </row>
    <row r="6" spans="1:64" ht="18" customHeight="1" x14ac:dyDescent="0.2">
      <c r="B6" s="720"/>
      <c r="C6" s="720"/>
      <c r="D6" s="720"/>
      <c r="E6" s="720"/>
      <c r="F6" s="720"/>
      <c r="G6" s="720"/>
      <c r="H6" s="720"/>
      <c r="I6" s="720"/>
      <c r="J6" s="720"/>
      <c r="K6" s="720"/>
      <c r="L6" s="720"/>
      <c r="M6" s="720"/>
    </row>
    <row r="7" spans="1:64" ht="15.75" thickBot="1" x14ac:dyDescent="0.25">
      <c r="B7" s="720"/>
      <c r="C7" s="720"/>
      <c r="D7" s="720"/>
      <c r="E7" s="720"/>
      <c r="F7" s="720"/>
      <c r="G7" s="720"/>
      <c r="H7" s="720"/>
      <c r="I7" s="720"/>
      <c r="J7" s="720"/>
      <c r="K7" s="720"/>
      <c r="L7" s="720"/>
      <c r="M7" s="720"/>
    </row>
    <row r="8" spans="1:64" s="297" customFormat="1" ht="35.1" customHeight="1" x14ac:dyDescent="0.25">
      <c r="A8" s="296"/>
      <c r="B8" s="702" t="s">
        <v>0</v>
      </c>
      <c r="C8" s="703"/>
      <c r="D8" s="703"/>
      <c r="E8" s="703"/>
      <c r="F8" s="703"/>
      <c r="G8" s="703"/>
      <c r="H8" s="703"/>
      <c r="I8" s="703"/>
      <c r="J8" s="703"/>
      <c r="K8" s="703"/>
      <c r="L8" s="703"/>
      <c r="M8" s="704"/>
      <c r="N8" s="296"/>
      <c r="O8" s="296"/>
      <c r="P8" s="296"/>
      <c r="Q8" s="296"/>
      <c r="R8" s="296"/>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6"/>
      <c r="BG8" s="296"/>
      <c r="BH8" s="296"/>
      <c r="BI8" s="296"/>
      <c r="BJ8" s="296"/>
      <c r="BK8" s="296"/>
      <c r="BL8" s="296"/>
    </row>
    <row r="9" spans="1:64" ht="24.95" customHeight="1" x14ac:dyDescent="0.2">
      <c r="B9" s="679" t="s">
        <v>31</v>
      </c>
      <c r="C9" s="680"/>
      <c r="D9" s="680"/>
      <c r="E9" s="680"/>
      <c r="F9" s="705"/>
      <c r="G9" s="706"/>
      <c r="H9" s="706"/>
      <c r="I9" s="706"/>
      <c r="J9" s="706"/>
      <c r="K9" s="706"/>
      <c r="L9" s="706"/>
      <c r="M9" s="707"/>
    </row>
    <row r="10" spans="1:64" ht="24.95" customHeight="1" x14ac:dyDescent="0.2">
      <c r="B10" s="679" t="s">
        <v>4</v>
      </c>
      <c r="C10" s="680"/>
      <c r="D10" s="680"/>
      <c r="E10" s="680"/>
      <c r="F10" s="708"/>
      <c r="G10" s="709"/>
      <c r="H10" s="709"/>
      <c r="I10" s="709"/>
      <c r="J10" s="709"/>
      <c r="K10" s="709"/>
      <c r="L10" s="709"/>
      <c r="M10" s="710"/>
    </row>
    <row r="11" spans="1:64" ht="24.95" customHeight="1" x14ac:dyDescent="0.2">
      <c r="B11" s="679" t="s">
        <v>6</v>
      </c>
      <c r="C11" s="680"/>
      <c r="D11" s="680"/>
      <c r="E11" s="680"/>
      <c r="F11" s="708"/>
      <c r="G11" s="709"/>
      <c r="H11" s="709"/>
      <c r="I11" s="709"/>
      <c r="J11" s="709"/>
      <c r="K11" s="709"/>
      <c r="L11" s="709"/>
      <c r="M11" s="710"/>
    </row>
    <row r="12" spans="1:64" ht="24.95" customHeight="1" x14ac:dyDescent="0.2">
      <c r="B12" s="679" t="s">
        <v>5</v>
      </c>
      <c r="C12" s="680"/>
      <c r="D12" s="680"/>
      <c r="E12" s="680"/>
      <c r="F12" s="711"/>
      <c r="G12" s="712"/>
      <c r="H12" s="712"/>
      <c r="I12" s="712"/>
      <c r="J12" s="712"/>
      <c r="K12" s="712"/>
      <c r="L12" s="712"/>
      <c r="M12" s="713"/>
    </row>
    <row r="13" spans="1:64" ht="24.95" customHeight="1" x14ac:dyDescent="0.2">
      <c r="B13" s="679" t="s">
        <v>379</v>
      </c>
      <c r="C13" s="680"/>
      <c r="D13" s="680"/>
      <c r="E13" s="680"/>
      <c r="F13" s="721"/>
      <c r="G13" s="722"/>
      <c r="H13" s="722"/>
      <c r="I13" s="722"/>
      <c r="J13" s="722"/>
      <c r="K13" s="722"/>
      <c r="L13" s="722"/>
      <c r="M13" s="723"/>
    </row>
    <row r="14" spans="1:64" s="298" customFormat="1" ht="24.95" customHeight="1" x14ac:dyDescent="0.2">
      <c r="A14" s="141"/>
      <c r="B14" s="679" t="s">
        <v>303</v>
      </c>
      <c r="C14" s="680"/>
      <c r="D14" s="680"/>
      <c r="E14" s="680"/>
      <c r="F14" s="708"/>
      <c r="G14" s="709"/>
      <c r="H14" s="709"/>
      <c r="I14" s="709"/>
      <c r="J14" s="709"/>
      <c r="K14" s="709"/>
      <c r="L14" s="709"/>
      <c r="M14" s="710"/>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row>
    <row r="15" spans="1:64" s="298" customFormat="1" ht="24.95" customHeight="1" x14ac:dyDescent="0.2">
      <c r="A15" s="141"/>
      <c r="B15" s="679" t="s">
        <v>753</v>
      </c>
      <c r="C15" s="680"/>
      <c r="D15" s="680"/>
      <c r="E15" s="680"/>
      <c r="F15" s="733"/>
      <c r="G15" s="734"/>
      <c r="H15" s="734"/>
      <c r="I15" s="734"/>
      <c r="J15" s="734"/>
      <c r="K15" s="734"/>
      <c r="L15" s="734"/>
      <c r="M15" s="735"/>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1"/>
      <c r="AM15" s="141"/>
      <c r="AN15" s="141"/>
      <c r="AO15" s="141"/>
      <c r="AP15" s="141"/>
      <c r="AQ15" s="141"/>
      <c r="AR15" s="141"/>
      <c r="AS15" s="141"/>
      <c r="AT15" s="141"/>
      <c r="AU15" s="141"/>
      <c r="AV15" s="141"/>
      <c r="AW15" s="141"/>
      <c r="AX15" s="141"/>
      <c r="AY15" s="141"/>
      <c r="AZ15" s="141"/>
      <c r="BA15" s="141"/>
      <c r="BB15" s="141"/>
      <c r="BC15" s="141"/>
      <c r="BD15" s="141"/>
      <c r="BE15" s="141"/>
      <c r="BF15" s="141"/>
      <c r="BG15" s="141"/>
      <c r="BH15" s="141"/>
      <c r="BI15" s="141"/>
      <c r="BJ15" s="141"/>
      <c r="BK15" s="141"/>
      <c r="BL15" s="141"/>
    </row>
    <row r="16" spans="1:64" ht="30" customHeight="1" x14ac:dyDescent="0.2">
      <c r="B16" s="717" t="s">
        <v>1</v>
      </c>
      <c r="C16" s="718"/>
      <c r="D16" s="718"/>
      <c r="E16" s="718"/>
      <c r="F16" s="718"/>
      <c r="G16" s="718"/>
      <c r="H16" s="718"/>
      <c r="I16" s="718"/>
      <c r="J16" s="718"/>
      <c r="K16" s="718"/>
      <c r="L16" s="718"/>
      <c r="M16" s="719"/>
    </row>
    <row r="17" spans="1:64" ht="24.95" customHeight="1" x14ac:dyDescent="0.2">
      <c r="B17" s="677" t="s">
        <v>300</v>
      </c>
      <c r="C17" s="678"/>
      <c r="D17" s="678"/>
      <c r="E17" s="678"/>
      <c r="F17" s="724" t="s">
        <v>755</v>
      </c>
      <c r="G17" s="725"/>
      <c r="H17" s="725"/>
      <c r="I17" s="725"/>
      <c r="J17" s="725"/>
      <c r="K17" s="725"/>
      <c r="L17" s="725"/>
      <c r="M17" s="726"/>
    </row>
    <row r="18" spans="1:64" ht="24.95" customHeight="1" x14ac:dyDescent="0.2">
      <c r="B18" s="679" t="s">
        <v>301</v>
      </c>
      <c r="C18" s="680"/>
      <c r="D18" s="680"/>
      <c r="E18" s="680"/>
      <c r="F18" s="724" t="s">
        <v>755</v>
      </c>
      <c r="G18" s="725"/>
      <c r="H18" s="725"/>
      <c r="I18" s="725"/>
      <c r="J18" s="725"/>
      <c r="K18" s="725"/>
      <c r="L18" s="725"/>
      <c r="M18" s="726"/>
    </row>
    <row r="19" spans="1:64" ht="24.95" customHeight="1" x14ac:dyDescent="0.2">
      <c r="B19" s="679" t="s">
        <v>364</v>
      </c>
      <c r="C19" s="680"/>
      <c r="D19" s="680"/>
      <c r="E19" s="680"/>
      <c r="F19" s="730" t="s">
        <v>755</v>
      </c>
      <c r="G19" s="731"/>
      <c r="H19" s="731"/>
      <c r="I19" s="731"/>
      <c r="J19" s="731"/>
      <c r="K19" s="731"/>
      <c r="L19" s="731"/>
      <c r="M19" s="732"/>
    </row>
    <row r="20" spans="1:64" ht="24.95" customHeight="1" x14ac:dyDescent="0.2">
      <c r="B20" s="693" t="s">
        <v>378</v>
      </c>
      <c r="C20" s="694"/>
      <c r="D20" s="694"/>
      <c r="E20" s="694"/>
      <c r="F20" s="714" t="s">
        <v>755</v>
      </c>
      <c r="G20" s="715"/>
      <c r="H20" s="715"/>
      <c r="I20" s="715"/>
      <c r="J20" s="715"/>
      <c r="K20" s="715"/>
      <c r="L20" s="715"/>
      <c r="M20" s="716"/>
      <c r="N20" s="299"/>
    </row>
    <row r="21" spans="1:64" ht="24.95" customHeight="1" x14ac:dyDescent="0.2">
      <c r="B21" s="679" t="s">
        <v>302</v>
      </c>
      <c r="C21" s="680"/>
      <c r="D21" s="680"/>
      <c r="E21" s="680"/>
      <c r="F21" s="727"/>
      <c r="G21" s="728"/>
      <c r="H21" s="728"/>
      <c r="I21" s="728"/>
      <c r="J21" s="728"/>
      <c r="K21" s="728"/>
      <c r="L21" s="728"/>
      <c r="M21" s="729"/>
    </row>
    <row r="22" spans="1:64" ht="24.95" customHeight="1" x14ac:dyDescent="0.2">
      <c r="B22" s="679" t="s">
        <v>485</v>
      </c>
      <c r="C22" s="680"/>
      <c r="D22" s="680"/>
      <c r="E22" s="680"/>
      <c r="F22" s="681" t="e">
        <f>ROUND(F20/F17,2)</f>
        <v>#VALUE!</v>
      </c>
      <c r="G22" s="681"/>
      <c r="H22" s="681"/>
      <c r="I22" s="681"/>
      <c r="J22" s="681"/>
      <c r="K22" s="681"/>
      <c r="L22" s="681"/>
      <c r="M22" s="682"/>
    </row>
    <row r="23" spans="1:64" ht="24.95" customHeight="1" x14ac:dyDescent="0.2">
      <c r="B23" s="679" t="s">
        <v>2</v>
      </c>
      <c r="C23" s="680"/>
      <c r="D23" s="680"/>
      <c r="E23" s="680"/>
      <c r="F23" s="683" t="e">
        <f>IF($F$22&lt;=15%,"Ultra-Low",IF($F$22&gt;=24%,"High","Low"))</f>
        <v>#VALUE!</v>
      </c>
      <c r="G23" s="683"/>
      <c r="H23" s="683"/>
      <c r="I23" s="683"/>
      <c r="J23" s="683"/>
      <c r="K23" s="683"/>
      <c r="L23" s="683"/>
      <c r="M23" s="684"/>
    </row>
    <row r="24" spans="1:64" ht="24.95" customHeight="1" x14ac:dyDescent="0.2">
      <c r="B24" s="679" t="s">
        <v>513</v>
      </c>
      <c r="C24" s="680"/>
      <c r="D24" s="680"/>
      <c r="E24" s="680"/>
      <c r="F24" s="685"/>
      <c r="G24" s="686"/>
      <c r="H24" s="686"/>
      <c r="I24" s="686"/>
      <c r="J24" s="686"/>
      <c r="K24" s="686"/>
      <c r="L24" s="686"/>
      <c r="M24" s="687"/>
    </row>
    <row r="25" spans="1:64" ht="24.95" customHeight="1" x14ac:dyDescent="0.2">
      <c r="B25" s="679" t="s">
        <v>3</v>
      </c>
      <c r="C25" s="680"/>
      <c r="D25" s="680"/>
      <c r="E25" s="680"/>
      <c r="F25" s="685" t="s">
        <v>755</v>
      </c>
      <c r="G25" s="686"/>
      <c r="H25" s="686"/>
      <c r="I25" s="686"/>
      <c r="J25" s="686"/>
      <c r="K25" s="686"/>
      <c r="L25" s="686"/>
      <c r="M25" s="687"/>
    </row>
    <row r="26" spans="1:64" ht="24.95" customHeight="1" x14ac:dyDescent="0.25">
      <c r="B26" s="688" t="s">
        <v>230</v>
      </c>
      <c r="C26" s="680" t="s">
        <v>314</v>
      </c>
      <c r="D26" s="680"/>
      <c r="E26" s="680"/>
      <c r="F26" s="714"/>
      <c r="G26" s="715"/>
      <c r="H26" s="715"/>
      <c r="I26" s="715"/>
      <c r="J26" s="715"/>
      <c r="K26" s="715"/>
      <c r="L26" s="715"/>
      <c r="M26" s="716"/>
      <c r="N26" s="300" t="str">
        <f>IF(AND(F26&gt;0,F26&lt;2.84),"VALUE IS TOO LOW!","")</f>
        <v/>
      </c>
    </row>
    <row r="27" spans="1:64" s="301" customFormat="1" ht="24.95" customHeight="1" x14ac:dyDescent="0.25">
      <c r="A27" s="140"/>
      <c r="B27" s="689"/>
      <c r="C27" s="680" t="s">
        <v>315</v>
      </c>
      <c r="D27" s="680"/>
      <c r="E27" s="680"/>
      <c r="F27" s="714"/>
      <c r="G27" s="715"/>
      <c r="H27" s="715"/>
      <c r="I27" s="715"/>
      <c r="J27" s="715"/>
      <c r="K27" s="715"/>
      <c r="L27" s="715"/>
      <c r="M27" s="716"/>
      <c r="N27" s="300" t="str">
        <f>IF(AND(F27&gt;0,F27&lt;3.42),"VALUE IS TOO LOW!","")</f>
        <v/>
      </c>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0"/>
      <c r="BL27" s="140"/>
    </row>
    <row r="28" spans="1:64" s="301" customFormat="1" ht="24.95" customHeight="1" x14ac:dyDescent="0.25">
      <c r="A28" s="140"/>
      <c r="B28" s="690"/>
      <c r="C28" s="680" t="s">
        <v>357</v>
      </c>
      <c r="D28" s="680"/>
      <c r="E28" s="680"/>
      <c r="F28" s="714"/>
      <c r="G28" s="715"/>
      <c r="H28" s="715"/>
      <c r="I28" s="715"/>
      <c r="J28" s="715"/>
      <c r="K28" s="715"/>
      <c r="L28" s="715"/>
      <c r="M28" s="716"/>
      <c r="N28" s="300" t="str">
        <f>IF(AND(F28&gt;0,F28&lt;4.96),"VALUE IS TOO LOW!","")</f>
        <v/>
      </c>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0"/>
      <c r="BL28" s="140"/>
    </row>
    <row r="29" spans="1:64" ht="30" customHeight="1" x14ac:dyDescent="0.2">
      <c r="B29" s="717" t="s">
        <v>367</v>
      </c>
      <c r="C29" s="718"/>
      <c r="D29" s="718"/>
      <c r="E29" s="718"/>
      <c r="F29" s="718"/>
      <c r="G29" s="718"/>
      <c r="H29" s="718"/>
      <c r="I29" s="718"/>
      <c r="J29" s="718"/>
      <c r="K29" s="718"/>
      <c r="L29" s="718"/>
      <c r="M29" s="719"/>
    </row>
    <row r="30" spans="1:64" ht="24.95" customHeight="1" x14ac:dyDescent="0.2">
      <c r="B30" s="693" t="s">
        <v>59</v>
      </c>
      <c r="C30" s="694"/>
      <c r="D30" s="694"/>
      <c r="E30" s="694"/>
      <c r="F30" s="691"/>
      <c r="G30" s="691"/>
      <c r="H30" s="691"/>
      <c r="I30" s="691"/>
      <c r="J30" s="691"/>
      <c r="K30" s="691"/>
      <c r="L30" s="691"/>
      <c r="M30" s="692"/>
    </row>
    <row r="31" spans="1:64" ht="24.95" customHeight="1" x14ac:dyDescent="0.2">
      <c r="B31" s="695" t="s">
        <v>43</v>
      </c>
      <c r="C31" s="696"/>
      <c r="D31" s="696"/>
      <c r="E31" s="696"/>
      <c r="F31" s="697"/>
      <c r="G31" s="697"/>
      <c r="H31" s="697"/>
      <c r="I31" s="697"/>
      <c r="J31" s="697"/>
      <c r="K31" s="697"/>
      <c r="L31" s="697"/>
      <c r="M31" s="698"/>
    </row>
    <row r="32" spans="1:64" ht="24.95" customHeight="1" x14ac:dyDescent="0.2">
      <c r="B32" s="695" t="s">
        <v>316</v>
      </c>
      <c r="C32" s="696"/>
      <c r="D32" s="696"/>
      <c r="E32" s="696"/>
      <c r="F32" s="691"/>
      <c r="G32" s="691"/>
      <c r="H32" s="691"/>
      <c r="I32" s="691"/>
      <c r="J32" s="691"/>
      <c r="K32" s="691"/>
      <c r="L32" s="691"/>
      <c r="M32" s="692"/>
    </row>
    <row r="33" spans="2:13" ht="24.95" customHeight="1" x14ac:dyDescent="0.2">
      <c r="B33" s="695" t="s">
        <v>365</v>
      </c>
      <c r="C33" s="696"/>
      <c r="D33" s="696"/>
      <c r="E33" s="696"/>
      <c r="F33" s="691"/>
      <c r="G33" s="691"/>
      <c r="H33" s="691"/>
      <c r="I33" s="691"/>
      <c r="J33" s="691"/>
      <c r="K33" s="691"/>
      <c r="L33" s="691"/>
      <c r="M33" s="692"/>
    </row>
    <row r="34" spans="2:13" ht="24.95" customHeight="1" x14ac:dyDescent="0.2">
      <c r="B34" s="695" t="s">
        <v>305</v>
      </c>
      <c r="C34" s="696"/>
      <c r="D34" s="696"/>
      <c r="E34" s="696"/>
      <c r="F34" s="691"/>
      <c r="G34" s="691"/>
      <c r="H34" s="691"/>
      <c r="I34" s="691"/>
      <c r="J34" s="691"/>
      <c r="K34" s="691"/>
      <c r="L34" s="691"/>
      <c r="M34" s="692"/>
    </row>
    <row r="35" spans="2:13" ht="30" customHeight="1" thickBot="1" x14ac:dyDescent="0.25">
      <c r="B35" s="699" t="s">
        <v>231</v>
      </c>
      <c r="C35" s="700"/>
      <c r="D35" s="700"/>
      <c r="E35" s="700"/>
      <c r="F35" s="700"/>
      <c r="G35" s="700"/>
      <c r="H35" s="700"/>
      <c r="I35" s="700"/>
      <c r="J35" s="700"/>
      <c r="K35" s="700"/>
      <c r="L35" s="700"/>
      <c r="M35" s="701"/>
    </row>
    <row r="36" spans="2:13" ht="20.100000000000001" customHeight="1" x14ac:dyDescent="0.2">
      <c r="B36" s="668" t="s">
        <v>754</v>
      </c>
      <c r="C36" s="669"/>
      <c r="D36" s="669"/>
      <c r="E36" s="669"/>
      <c r="F36" s="669"/>
      <c r="G36" s="669"/>
      <c r="H36" s="669"/>
      <c r="I36" s="669"/>
      <c r="J36" s="669"/>
      <c r="K36" s="669"/>
      <c r="L36" s="669"/>
      <c r="M36" s="670"/>
    </row>
    <row r="37" spans="2:13" ht="20.100000000000001" customHeight="1" x14ac:dyDescent="0.2">
      <c r="B37" s="671"/>
      <c r="C37" s="672"/>
      <c r="D37" s="672"/>
      <c r="E37" s="672"/>
      <c r="F37" s="672"/>
      <c r="G37" s="672"/>
      <c r="H37" s="672"/>
      <c r="I37" s="672"/>
      <c r="J37" s="672"/>
      <c r="K37" s="672"/>
      <c r="L37" s="672"/>
      <c r="M37" s="673"/>
    </row>
    <row r="38" spans="2:13" ht="20.100000000000001" customHeight="1" x14ac:dyDescent="0.2">
      <c r="B38" s="671"/>
      <c r="C38" s="672"/>
      <c r="D38" s="672"/>
      <c r="E38" s="672"/>
      <c r="F38" s="672"/>
      <c r="G38" s="672"/>
      <c r="H38" s="672"/>
      <c r="I38" s="672"/>
      <c r="J38" s="672"/>
      <c r="K38" s="672"/>
      <c r="L38" s="672"/>
      <c r="M38" s="673"/>
    </row>
    <row r="39" spans="2:13" ht="20.100000000000001" customHeight="1" x14ac:dyDescent="0.2">
      <c r="B39" s="671"/>
      <c r="C39" s="672"/>
      <c r="D39" s="672"/>
      <c r="E39" s="672"/>
      <c r="F39" s="672"/>
      <c r="G39" s="672"/>
      <c r="H39" s="672"/>
      <c r="I39" s="672"/>
      <c r="J39" s="672"/>
      <c r="K39" s="672"/>
      <c r="L39" s="672"/>
      <c r="M39" s="673"/>
    </row>
    <row r="40" spans="2:13" ht="20.100000000000001" customHeight="1" x14ac:dyDescent="0.2">
      <c r="B40" s="671"/>
      <c r="C40" s="672"/>
      <c r="D40" s="672"/>
      <c r="E40" s="672"/>
      <c r="F40" s="672"/>
      <c r="G40" s="672"/>
      <c r="H40" s="672"/>
      <c r="I40" s="672"/>
      <c r="J40" s="672"/>
      <c r="K40" s="672"/>
      <c r="L40" s="672"/>
      <c r="M40" s="673"/>
    </row>
    <row r="41" spans="2:13" ht="20.100000000000001" customHeight="1" x14ac:dyDescent="0.2">
      <c r="B41" s="671"/>
      <c r="C41" s="672"/>
      <c r="D41" s="672"/>
      <c r="E41" s="672"/>
      <c r="F41" s="672"/>
      <c r="G41" s="672"/>
      <c r="H41" s="672"/>
      <c r="I41" s="672"/>
      <c r="J41" s="672"/>
      <c r="K41" s="672"/>
      <c r="L41" s="672"/>
      <c r="M41" s="673"/>
    </row>
    <row r="42" spans="2:13" ht="20.100000000000001" customHeight="1" x14ac:dyDescent="0.2">
      <c r="B42" s="671"/>
      <c r="C42" s="672"/>
      <c r="D42" s="672"/>
      <c r="E42" s="672"/>
      <c r="F42" s="672"/>
      <c r="G42" s="672"/>
      <c r="H42" s="672"/>
      <c r="I42" s="672"/>
      <c r="J42" s="672"/>
      <c r="K42" s="672"/>
      <c r="L42" s="672"/>
      <c r="M42" s="673"/>
    </row>
    <row r="43" spans="2:13" ht="20.100000000000001" customHeight="1" x14ac:dyDescent="0.2">
      <c r="B43" s="671"/>
      <c r="C43" s="672"/>
      <c r="D43" s="672"/>
      <c r="E43" s="672"/>
      <c r="F43" s="672"/>
      <c r="G43" s="672"/>
      <c r="H43" s="672"/>
      <c r="I43" s="672"/>
      <c r="J43" s="672"/>
      <c r="K43" s="672"/>
      <c r="L43" s="672"/>
      <c r="M43" s="673"/>
    </row>
    <row r="44" spans="2:13" ht="20.100000000000001" customHeight="1" x14ac:dyDescent="0.2">
      <c r="B44" s="671"/>
      <c r="C44" s="672"/>
      <c r="D44" s="672"/>
      <c r="E44" s="672"/>
      <c r="F44" s="672"/>
      <c r="G44" s="672"/>
      <c r="H44" s="672"/>
      <c r="I44" s="672"/>
      <c r="J44" s="672"/>
      <c r="K44" s="672"/>
      <c r="L44" s="672"/>
      <c r="M44" s="673"/>
    </row>
    <row r="45" spans="2:13" ht="20.100000000000001" customHeight="1" x14ac:dyDescent="0.2">
      <c r="B45" s="671"/>
      <c r="C45" s="672"/>
      <c r="D45" s="672"/>
      <c r="E45" s="672"/>
      <c r="F45" s="672"/>
      <c r="G45" s="672"/>
      <c r="H45" s="672"/>
      <c r="I45" s="672"/>
      <c r="J45" s="672"/>
      <c r="K45" s="672"/>
      <c r="L45" s="672"/>
      <c r="M45" s="673"/>
    </row>
    <row r="46" spans="2:13" ht="20.100000000000001" customHeight="1" x14ac:dyDescent="0.2">
      <c r="B46" s="671"/>
      <c r="C46" s="672"/>
      <c r="D46" s="672"/>
      <c r="E46" s="672"/>
      <c r="F46" s="672"/>
      <c r="G46" s="672"/>
      <c r="H46" s="672"/>
      <c r="I46" s="672"/>
      <c r="J46" s="672"/>
      <c r="K46" s="672"/>
      <c r="L46" s="672"/>
      <c r="M46" s="673"/>
    </row>
    <row r="47" spans="2:13" ht="20.100000000000001" customHeight="1" x14ac:dyDescent="0.2">
      <c r="B47" s="671"/>
      <c r="C47" s="672"/>
      <c r="D47" s="672"/>
      <c r="E47" s="672"/>
      <c r="F47" s="672"/>
      <c r="G47" s="672"/>
      <c r="H47" s="672"/>
      <c r="I47" s="672"/>
      <c r="J47" s="672"/>
      <c r="K47" s="672"/>
      <c r="L47" s="672"/>
      <c r="M47" s="673"/>
    </row>
    <row r="48" spans="2:13" ht="20.100000000000001" customHeight="1" x14ac:dyDescent="0.2">
      <c r="B48" s="671"/>
      <c r="C48" s="672"/>
      <c r="D48" s="672"/>
      <c r="E48" s="672"/>
      <c r="F48" s="672"/>
      <c r="G48" s="672"/>
      <c r="H48" s="672"/>
      <c r="I48" s="672"/>
      <c r="J48" s="672"/>
      <c r="K48" s="672"/>
      <c r="L48" s="672"/>
      <c r="M48" s="673"/>
    </row>
    <row r="49" spans="2:13" ht="20.100000000000001" customHeight="1" x14ac:dyDescent="0.2">
      <c r="B49" s="671"/>
      <c r="C49" s="672"/>
      <c r="D49" s="672"/>
      <c r="E49" s="672"/>
      <c r="F49" s="672"/>
      <c r="G49" s="672"/>
      <c r="H49" s="672"/>
      <c r="I49" s="672"/>
      <c r="J49" s="672"/>
      <c r="K49" s="672"/>
      <c r="L49" s="672"/>
      <c r="M49" s="673"/>
    </row>
    <row r="50" spans="2:13" ht="20.100000000000001" customHeight="1" x14ac:dyDescent="0.2">
      <c r="B50" s="671"/>
      <c r="C50" s="672"/>
      <c r="D50" s="672"/>
      <c r="E50" s="672"/>
      <c r="F50" s="672"/>
      <c r="G50" s="672"/>
      <c r="H50" s="672"/>
      <c r="I50" s="672"/>
      <c r="J50" s="672"/>
      <c r="K50" s="672"/>
      <c r="L50" s="672"/>
      <c r="M50" s="673"/>
    </row>
    <row r="51" spans="2:13" ht="20.100000000000001" customHeight="1" x14ac:dyDescent="0.2">
      <c r="B51" s="671"/>
      <c r="C51" s="672"/>
      <c r="D51" s="672"/>
      <c r="E51" s="672"/>
      <c r="F51" s="672"/>
      <c r="G51" s="672"/>
      <c r="H51" s="672"/>
      <c r="I51" s="672"/>
      <c r="J51" s="672"/>
      <c r="K51" s="672"/>
      <c r="L51" s="672"/>
      <c r="M51" s="673"/>
    </row>
    <row r="52" spans="2:13" ht="20.100000000000001" customHeight="1" x14ac:dyDescent="0.2">
      <c r="B52" s="671"/>
      <c r="C52" s="672"/>
      <c r="D52" s="672"/>
      <c r="E52" s="672"/>
      <c r="F52" s="672"/>
      <c r="G52" s="672"/>
      <c r="H52" s="672"/>
      <c r="I52" s="672"/>
      <c r="J52" s="672"/>
      <c r="K52" s="672"/>
      <c r="L52" s="672"/>
      <c r="M52" s="673"/>
    </row>
    <row r="53" spans="2:13" ht="20.100000000000001" customHeight="1" x14ac:dyDescent="0.2">
      <c r="B53" s="671"/>
      <c r="C53" s="672"/>
      <c r="D53" s="672"/>
      <c r="E53" s="672"/>
      <c r="F53" s="672"/>
      <c r="G53" s="672"/>
      <c r="H53" s="672"/>
      <c r="I53" s="672"/>
      <c r="J53" s="672"/>
      <c r="K53" s="672"/>
      <c r="L53" s="672"/>
      <c r="M53" s="673"/>
    </row>
    <row r="54" spans="2:13" ht="20.100000000000001" customHeight="1" x14ac:dyDescent="0.2">
      <c r="B54" s="671"/>
      <c r="C54" s="672"/>
      <c r="D54" s="672"/>
      <c r="E54" s="672"/>
      <c r="F54" s="672"/>
      <c r="G54" s="672"/>
      <c r="H54" s="672"/>
      <c r="I54" s="672"/>
      <c r="J54" s="672"/>
      <c r="K54" s="672"/>
      <c r="L54" s="672"/>
      <c r="M54" s="673"/>
    </row>
    <row r="55" spans="2:13" ht="20.100000000000001" customHeight="1" x14ac:dyDescent="0.2">
      <c r="B55" s="671"/>
      <c r="C55" s="672"/>
      <c r="D55" s="672"/>
      <c r="E55" s="672"/>
      <c r="F55" s="672"/>
      <c r="G55" s="672"/>
      <c r="H55" s="672"/>
      <c r="I55" s="672"/>
      <c r="J55" s="672"/>
      <c r="K55" s="672"/>
      <c r="L55" s="672"/>
      <c r="M55" s="673"/>
    </row>
    <row r="56" spans="2:13" ht="20.100000000000001" customHeight="1" x14ac:dyDescent="0.2">
      <c r="B56" s="671"/>
      <c r="C56" s="672"/>
      <c r="D56" s="672"/>
      <c r="E56" s="672"/>
      <c r="F56" s="672"/>
      <c r="G56" s="672"/>
      <c r="H56" s="672"/>
      <c r="I56" s="672"/>
      <c r="J56" s="672"/>
      <c r="K56" s="672"/>
      <c r="L56" s="672"/>
      <c r="M56" s="673"/>
    </row>
    <row r="57" spans="2:13" ht="20.100000000000001" customHeight="1" x14ac:dyDescent="0.2">
      <c r="B57" s="671"/>
      <c r="C57" s="672"/>
      <c r="D57" s="672"/>
      <c r="E57" s="672"/>
      <c r="F57" s="672"/>
      <c r="G57" s="672"/>
      <c r="H57" s="672"/>
      <c r="I57" s="672"/>
      <c r="J57" s="672"/>
      <c r="K57" s="672"/>
      <c r="L57" s="672"/>
      <c r="M57" s="673"/>
    </row>
    <row r="58" spans="2:13" ht="20.100000000000001" customHeight="1" x14ac:dyDescent="0.2">
      <c r="B58" s="671"/>
      <c r="C58" s="672"/>
      <c r="D58" s="672"/>
      <c r="E58" s="672"/>
      <c r="F58" s="672"/>
      <c r="G58" s="672"/>
      <c r="H58" s="672"/>
      <c r="I58" s="672"/>
      <c r="J58" s="672"/>
      <c r="K58" s="672"/>
      <c r="L58" s="672"/>
      <c r="M58" s="673"/>
    </row>
    <row r="59" spans="2:13" ht="20.100000000000001" customHeight="1" x14ac:dyDescent="0.2">
      <c r="B59" s="671"/>
      <c r="C59" s="672"/>
      <c r="D59" s="672"/>
      <c r="E59" s="672"/>
      <c r="F59" s="672"/>
      <c r="G59" s="672"/>
      <c r="H59" s="672"/>
      <c r="I59" s="672"/>
      <c r="J59" s="672"/>
      <c r="K59" s="672"/>
      <c r="L59" s="672"/>
      <c r="M59" s="673"/>
    </row>
    <row r="60" spans="2:13" ht="20.100000000000001" customHeight="1" x14ac:dyDescent="0.2">
      <c r="B60" s="671"/>
      <c r="C60" s="672"/>
      <c r="D60" s="672"/>
      <c r="E60" s="672"/>
      <c r="F60" s="672"/>
      <c r="G60" s="672"/>
      <c r="H60" s="672"/>
      <c r="I60" s="672"/>
      <c r="J60" s="672"/>
      <c r="K60" s="672"/>
      <c r="L60" s="672"/>
      <c r="M60" s="673"/>
    </row>
    <row r="61" spans="2:13" ht="20.100000000000001" customHeight="1" x14ac:dyDescent="0.2">
      <c r="B61" s="671"/>
      <c r="C61" s="672"/>
      <c r="D61" s="672"/>
      <c r="E61" s="672"/>
      <c r="F61" s="672"/>
      <c r="G61" s="672"/>
      <c r="H61" s="672"/>
      <c r="I61" s="672"/>
      <c r="J61" s="672"/>
      <c r="K61" s="672"/>
      <c r="L61" s="672"/>
      <c r="M61" s="673"/>
    </row>
    <row r="62" spans="2:13" ht="20.100000000000001" customHeight="1" x14ac:dyDescent="0.2">
      <c r="B62" s="671"/>
      <c r="C62" s="672"/>
      <c r="D62" s="672"/>
      <c r="E62" s="672"/>
      <c r="F62" s="672"/>
      <c r="G62" s="672"/>
      <c r="H62" s="672"/>
      <c r="I62" s="672"/>
      <c r="J62" s="672"/>
      <c r="K62" s="672"/>
      <c r="L62" s="672"/>
      <c r="M62" s="673"/>
    </row>
    <row r="63" spans="2:13" ht="20.100000000000001" customHeight="1" x14ac:dyDescent="0.2">
      <c r="B63" s="671"/>
      <c r="C63" s="672"/>
      <c r="D63" s="672"/>
      <c r="E63" s="672"/>
      <c r="F63" s="672"/>
      <c r="G63" s="672"/>
      <c r="H63" s="672"/>
      <c r="I63" s="672"/>
      <c r="J63" s="672"/>
      <c r="K63" s="672"/>
      <c r="L63" s="672"/>
      <c r="M63" s="673"/>
    </row>
    <row r="64" spans="2:13" ht="20.100000000000001" customHeight="1" x14ac:dyDescent="0.2">
      <c r="B64" s="671"/>
      <c r="C64" s="672"/>
      <c r="D64" s="672"/>
      <c r="E64" s="672"/>
      <c r="F64" s="672"/>
      <c r="G64" s="672"/>
      <c r="H64" s="672"/>
      <c r="I64" s="672"/>
      <c r="J64" s="672"/>
      <c r="K64" s="672"/>
      <c r="L64" s="672"/>
      <c r="M64" s="673"/>
    </row>
    <row r="65" spans="2:13" ht="20.100000000000001" customHeight="1" x14ac:dyDescent="0.2">
      <c r="B65" s="671"/>
      <c r="C65" s="672"/>
      <c r="D65" s="672"/>
      <c r="E65" s="672"/>
      <c r="F65" s="672"/>
      <c r="G65" s="672"/>
      <c r="H65" s="672"/>
      <c r="I65" s="672"/>
      <c r="J65" s="672"/>
      <c r="K65" s="672"/>
      <c r="L65" s="672"/>
      <c r="M65" s="673"/>
    </row>
    <row r="66" spans="2:13" ht="20.100000000000001" customHeight="1" x14ac:dyDescent="0.2">
      <c r="B66" s="671"/>
      <c r="C66" s="672"/>
      <c r="D66" s="672"/>
      <c r="E66" s="672"/>
      <c r="F66" s="672"/>
      <c r="G66" s="672"/>
      <c r="H66" s="672"/>
      <c r="I66" s="672"/>
      <c r="J66" s="672"/>
      <c r="K66" s="672"/>
      <c r="L66" s="672"/>
      <c r="M66" s="673"/>
    </row>
    <row r="67" spans="2:13" ht="20.100000000000001" customHeight="1" x14ac:dyDescent="0.2">
      <c r="B67" s="671"/>
      <c r="C67" s="672"/>
      <c r="D67" s="672"/>
      <c r="E67" s="672"/>
      <c r="F67" s="672"/>
      <c r="G67" s="672"/>
      <c r="H67" s="672"/>
      <c r="I67" s="672"/>
      <c r="J67" s="672"/>
      <c r="K67" s="672"/>
      <c r="L67" s="672"/>
      <c r="M67" s="673"/>
    </row>
    <row r="68" spans="2:13" ht="20.100000000000001" customHeight="1" x14ac:dyDescent="0.2">
      <c r="B68" s="671"/>
      <c r="C68" s="672"/>
      <c r="D68" s="672"/>
      <c r="E68" s="672"/>
      <c r="F68" s="672"/>
      <c r="G68" s="672"/>
      <c r="H68" s="672"/>
      <c r="I68" s="672"/>
      <c r="J68" s="672"/>
      <c r="K68" s="672"/>
      <c r="L68" s="672"/>
      <c r="M68" s="673"/>
    </row>
    <row r="69" spans="2:13" ht="20.100000000000001" customHeight="1" x14ac:dyDescent="0.2">
      <c r="B69" s="671"/>
      <c r="C69" s="672"/>
      <c r="D69" s="672"/>
      <c r="E69" s="672"/>
      <c r="F69" s="672"/>
      <c r="G69" s="672"/>
      <c r="H69" s="672"/>
      <c r="I69" s="672"/>
      <c r="J69" s="672"/>
      <c r="K69" s="672"/>
      <c r="L69" s="672"/>
      <c r="M69" s="673"/>
    </row>
    <row r="70" spans="2:13" ht="20.100000000000001" customHeight="1" x14ac:dyDescent="0.2">
      <c r="B70" s="671"/>
      <c r="C70" s="672"/>
      <c r="D70" s="672"/>
      <c r="E70" s="672"/>
      <c r="F70" s="672"/>
      <c r="G70" s="672"/>
      <c r="H70" s="672"/>
      <c r="I70" s="672"/>
      <c r="J70" s="672"/>
      <c r="K70" s="672"/>
      <c r="L70" s="672"/>
      <c r="M70" s="673"/>
    </row>
    <row r="71" spans="2:13" ht="20.100000000000001" customHeight="1" thickBot="1" x14ac:dyDescent="0.25">
      <c r="B71" s="674"/>
      <c r="C71" s="675"/>
      <c r="D71" s="675"/>
      <c r="E71" s="675"/>
      <c r="F71" s="675"/>
      <c r="G71" s="675"/>
      <c r="H71" s="675"/>
      <c r="I71" s="675"/>
      <c r="J71" s="675"/>
      <c r="K71" s="675"/>
      <c r="L71" s="675"/>
      <c r="M71" s="676"/>
    </row>
    <row r="72" spans="2:13" s="139" customFormat="1" x14ac:dyDescent="0.2">
      <c r="D72" s="239"/>
      <c r="E72" s="239"/>
      <c r="F72" s="239"/>
      <c r="G72" s="239"/>
      <c r="H72" s="239"/>
    </row>
    <row r="73" spans="2:13" s="230" customFormat="1" ht="15.75" hidden="1" x14ac:dyDescent="0.25">
      <c r="B73" s="230" t="s">
        <v>293</v>
      </c>
      <c r="D73" s="302"/>
      <c r="E73" s="302"/>
      <c r="F73" s="302"/>
      <c r="G73" s="302"/>
      <c r="H73" s="302"/>
    </row>
    <row r="74" spans="2:13" s="139" customFormat="1" ht="15.75" hidden="1" x14ac:dyDescent="0.2">
      <c r="C74" s="303" t="s">
        <v>19</v>
      </c>
      <c r="D74" s="139" t="s">
        <v>514</v>
      </c>
    </row>
    <row r="75" spans="2:13" s="139" customFormat="1" hidden="1" x14ac:dyDescent="0.2">
      <c r="C75" s="304" t="s">
        <v>11</v>
      </c>
      <c r="D75" s="139" t="s">
        <v>515</v>
      </c>
    </row>
    <row r="76" spans="2:13" s="139" customFormat="1" hidden="1" x14ac:dyDescent="0.2">
      <c r="C76" s="304" t="s">
        <v>218</v>
      </c>
      <c r="D76" s="139" t="s">
        <v>516</v>
      </c>
    </row>
    <row r="77" spans="2:13" s="139" customFormat="1" hidden="1" x14ac:dyDescent="0.2"/>
    <row r="78" spans="2:13" s="139" customFormat="1" hidden="1" x14ac:dyDescent="0.2"/>
    <row r="79" spans="2:13" s="139" customFormat="1" ht="15.75" hidden="1" x14ac:dyDescent="0.2">
      <c r="C79" s="303" t="s">
        <v>246</v>
      </c>
    </row>
    <row r="80" spans="2:13" s="139" customFormat="1" hidden="1" x14ac:dyDescent="0.2">
      <c r="C80" s="139" t="s">
        <v>247</v>
      </c>
    </row>
    <row r="81" spans="3:3" s="139" customFormat="1" hidden="1" x14ac:dyDescent="0.2">
      <c r="C81" s="139" t="s">
        <v>248</v>
      </c>
    </row>
    <row r="82" spans="3:3" s="139" customFormat="1" hidden="1" x14ac:dyDescent="0.2">
      <c r="C82" s="139" t="s">
        <v>249</v>
      </c>
    </row>
    <row r="83" spans="3:3" s="139" customFormat="1" hidden="1" x14ac:dyDescent="0.2"/>
    <row r="84" spans="3:3" s="139" customFormat="1" hidden="1" x14ac:dyDescent="0.2"/>
    <row r="85" spans="3:3" s="139" customFormat="1" hidden="1" x14ac:dyDescent="0.2"/>
    <row r="86" spans="3:3" s="139" customFormat="1" hidden="1" x14ac:dyDescent="0.2"/>
    <row r="87" spans="3:3" s="139" customFormat="1" hidden="1" x14ac:dyDescent="0.2"/>
    <row r="88" spans="3:3" s="139" customFormat="1" hidden="1" x14ac:dyDescent="0.2"/>
    <row r="89" spans="3:3" s="139" customFormat="1" hidden="1" x14ac:dyDescent="0.2"/>
    <row r="90" spans="3:3" s="139" customFormat="1" x14ac:dyDescent="0.2"/>
    <row r="91" spans="3:3" s="139" customFormat="1" x14ac:dyDescent="0.2"/>
    <row r="92" spans="3:3" s="139" customFormat="1" x14ac:dyDescent="0.2"/>
    <row r="93" spans="3:3" s="139" customFormat="1" x14ac:dyDescent="0.2"/>
    <row r="94" spans="3:3" s="139" customFormat="1" x14ac:dyDescent="0.2"/>
    <row r="95" spans="3:3" s="139" customFormat="1" x14ac:dyDescent="0.2"/>
    <row r="96" spans="3:3" s="139" customFormat="1" x14ac:dyDescent="0.2"/>
    <row r="97" s="139" customFormat="1" x14ac:dyDescent="0.2"/>
    <row r="98" s="139" customFormat="1" x14ac:dyDescent="0.2"/>
    <row r="99" s="139" customFormat="1" x14ac:dyDescent="0.2"/>
    <row r="100" s="139" customFormat="1" x14ac:dyDescent="0.2"/>
    <row r="101" s="139" customFormat="1" x14ac:dyDescent="0.2"/>
    <row r="102" s="139" customFormat="1" x14ac:dyDescent="0.2"/>
    <row r="103" s="139" customFormat="1" x14ac:dyDescent="0.2"/>
    <row r="104" s="139" customFormat="1" x14ac:dyDescent="0.2"/>
    <row r="105" s="139" customFormat="1" x14ac:dyDescent="0.2"/>
    <row r="106" s="139" customFormat="1" x14ac:dyDescent="0.2"/>
    <row r="107" s="139" customFormat="1" x14ac:dyDescent="0.2"/>
    <row r="108" s="139" customFormat="1" x14ac:dyDescent="0.2"/>
    <row r="109" s="139" customFormat="1" x14ac:dyDescent="0.2"/>
    <row r="110" s="139" customFormat="1" x14ac:dyDescent="0.2"/>
    <row r="111" s="139" customFormat="1" x14ac:dyDescent="0.2"/>
    <row r="112" s="139" customFormat="1" x14ac:dyDescent="0.2"/>
    <row r="113" s="139" customFormat="1" x14ac:dyDescent="0.2"/>
    <row r="114" s="139" customFormat="1" x14ac:dyDescent="0.2"/>
    <row r="115" s="139" customFormat="1" x14ac:dyDescent="0.2"/>
    <row r="116" s="139" customFormat="1" x14ac:dyDescent="0.2"/>
    <row r="117" s="139" customFormat="1" x14ac:dyDescent="0.2"/>
    <row r="118" s="139" customFormat="1" x14ac:dyDescent="0.2"/>
    <row r="119" s="139" customFormat="1" x14ac:dyDescent="0.2"/>
    <row r="120" s="139" customFormat="1" x14ac:dyDescent="0.2"/>
    <row r="121" s="139" customFormat="1" x14ac:dyDescent="0.2"/>
    <row r="122" s="139" customFormat="1" x14ac:dyDescent="0.2"/>
    <row r="123" s="139" customFormat="1" x14ac:dyDescent="0.2"/>
    <row r="124" s="139" customFormat="1" x14ac:dyDescent="0.2"/>
    <row r="125" s="139" customFormat="1" x14ac:dyDescent="0.2"/>
    <row r="126" s="139" customFormat="1" x14ac:dyDescent="0.2"/>
    <row r="127" s="139" customFormat="1" x14ac:dyDescent="0.2"/>
    <row r="128" s="139" customFormat="1" x14ac:dyDescent="0.2"/>
    <row r="129" s="139" customFormat="1" x14ac:dyDescent="0.2"/>
    <row r="130" s="139" customFormat="1" x14ac:dyDescent="0.2"/>
    <row r="131" s="139" customFormat="1" x14ac:dyDescent="0.2"/>
    <row r="132" s="139" customFormat="1" x14ac:dyDescent="0.2"/>
    <row r="133" s="139" customFormat="1" x14ac:dyDescent="0.2"/>
    <row r="134" s="139" customFormat="1" x14ac:dyDescent="0.2"/>
    <row r="135" s="139" customFormat="1" x14ac:dyDescent="0.2"/>
    <row r="136" s="139" customFormat="1" x14ac:dyDescent="0.2"/>
    <row r="137" s="139" customFormat="1" x14ac:dyDescent="0.2"/>
    <row r="138" s="139" customFormat="1" x14ac:dyDescent="0.2"/>
    <row r="139" s="139" customFormat="1" x14ac:dyDescent="0.2"/>
    <row r="140" s="139" customFormat="1" x14ac:dyDescent="0.2"/>
    <row r="141" s="139" customFormat="1" x14ac:dyDescent="0.2"/>
    <row r="142" s="139" customFormat="1" x14ac:dyDescent="0.2"/>
    <row r="143" s="139" customFormat="1" x14ac:dyDescent="0.2"/>
    <row r="144" s="139" customFormat="1" x14ac:dyDescent="0.2"/>
    <row r="145" s="139" customFormat="1" x14ac:dyDescent="0.2"/>
    <row r="146" s="139" customFormat="1" x14ac:dyDescent="0.2"/>
    <row r="147" s="139" customFormat="1" x14ac:dyDescent="0.2"/>
    <row r="148" s="139" customFormat="1" x14ac:dyDescent="0.2"/>
    <row r="149" s="139" customFormat="1" x14ac:dyDescent="0.2"/>
    <row r="150" s="139" customFormat="1" x14ac:dyDescent="0.2"/>
    <row r="151" s="139" customFormat="1" x14ac:dyDescent="0.2"/>
    <row r="152" s="139" customFormat="1" x14ac:dyDescent="0.2"/>
    <row r="153" s="139" customFormat="1" x14ac:dyDescent="0.2"/>
    <row r="154" s="139" customFormat="1" x14ac:dyDescent="0.2"/>
    <row r="155" s="139" customFormat="1" x14ac:dyDescent="0.2"/>
    <row r="156" s="139" customFormat="1" x14ac:dyDescent="0.2"/>
    <row r="157" s="139" customFormat="1" x14ac:dyDescent="0.2"/>
    <row r="158" s="139" customFormat="1" x14ac:dyDescent="0.2"/>
    <row r="159" s="139" customFormat="1" x14ac:dyDescent="0.2"/>
    <row r="160" s="139" customFormat="1" x14ac:dyDescent="0.2"/>
    <row r="161" s="139" customFormat="1" x14ac:dyDescent="0.2"/>
    <row r="162" s="139" customFormat="1" x14ac:dyDescent="0.2"/>
    <row r="163" s="139" customFormat="1" x14ac:dyDescent="0.2"/>
    <row r="164" s="139" customFormat="1" x14ac:dyDescent="0.2"/>
    <row r="165" s="139" customFormat="1" x14ac:dyDescent="0.2"/>
    <row r="166" s="139" customFormat="1" x14ac:dyDescent="0.2"/>
    <row r="167" s="139" customFormat="1" x14ac:dyDescent="0.2"/>
    <row r="168" s="139" customFormat="1" x14ac:dyDescent="0.2"/>
    <row r="169" s="139" customFormat="1" x14ac:dyDescent="0.2"/>
    <row r="170" s="139" customFormat="1" x14ac:dyDescent="0.2"/>
    <row r="171" s="139" customFormat="1" x14ac:dyDescent="0.2"/>
    <row r="172" s="139" customFormat="1" x14ac:dyDescent="0.2"/>
    <row r="173" s="139" customFormat="1" x14ac:dyDescent="0.2"/>
    <row r="174" s="139" customFormat="1" x14ac:dyDescent="0.2"/>
    <row r="175" s="139" customFormat="1" x14ac:dyDescent="0.2"/>
    <row r="176" s="139" customFormat="1" x14ac:dyDescent="0.2"/>
    <row r="177" s="139" customFormat="1" x14ac:dyDescent="0.2"/>
    <row r="178" s="139" customFormat="1" x14ac:dyDescent="0.2"/>
    <row r="179" s="139" customFormat="1" x14ac:dyDescent="0.2"/>
    <row r="180" s="139" customFormat="1" x14ac:dyDescent="0.2"/>
    <row r="181" s="139" customFormat="1" x14ac:dyDescent="0.2"/>
    <row r="182" s="139" customFormat="1" x14ac:dyDescent="0.2"/>
    <row r="183" s="139" customFormat="1" x14ac:dyDescent="0.2"/>
    <row r="184" s="139" customFormat="1" x14ac:dyDescent="0.2"/>
    <row r="185" s="139" customFormat="1" x14ac:dyDescent="0.2"/>
    <row r="186" s="139" customFormat="1" x14ac:dyDescent="0.2"/>
    <row r="187" s="139" customFormat="1" x14ac:dyDescent="0.2"/>
    <row r="188" s="139" customFormat="1" x14ac:dyDescent="0.2"/>
    <row r="189" s="139" customFormat="1" x14ac:dyDescent="0.2"/>
    <row r="190" s="139" customFormat="1" x14ac:dyDescent="0.2"/>
    <row r="191" s="139" customFormat="1" x14ac:dyDescent="0.2"/>
    <row r="192" s="139" customFormat="1" x14ac:dyDescent="0.2"/>
    <row r="193" s="139" customFormat="1" x14ac:dyDescent="0.2"/>
    <row r="194" s="139" customFormat="1" x14ac:dyDescent="0.2"/>
    <row r="195" s="139" customFormat="1" x14ac:dyDescent="0.2"/>
    <row r="196" s="139" customFormat="1" x14ac:dyDescent="0.2"/>
    <row r="197" s="139" customFormat="1" x14ac:dyDescent="0.2"/>
    <row r="198" s="139" customFormat="1" x14ac:dyDescent="0.2"/>
    <row r="199" s="139" customFormat="1" x14ac:dyDescent="0.2"/>
    <row r="200" s="139" customFormat="1" x14ac:dyDescent="0.2"/>
    <row r="201" s="139" customFormat="1" x14ac:dyDescent="0.2"/>
    <row r="202" s="139" customFormat="1" x14ac:dyDescent="0.2"/>
    <row r="203" s="139" customFormat="1" x14ac:dyDescent="0.2"/>
    <row r="204" s="139" customFormat="1" x14ac:dyDescent="0.2"/>
    <row r="205" s="139" customFormat="1" x14ac:dyDescent="0.2"/>
    <row r="206" s="139" customFormat="1" x14ac:dyDescent="0.2"/>
    <row r="207" s="139" customFormat="1" x14ac:dyDescent="0.2"/>
    <row r="208" s="139" customFormat="1" x14ac:dyDescent="0.2"/>
    <row r="209" s="139" customFormat="1" x14ac:dyDescent="0.2"/>
    <row r="210" s="139" customFormat="1" x14ac:dyDescent="0.2"/>
    <row r="211" s="139" customFormat="1" x14ac:dyDescent="0.2"/>
    <row r="212" s="139" customFormat="1" x14ac:dyDescent="0.2"/>
    <row r="213" s="139" customFormat="1" x14ac:dyDescent="0.2"/>
    <row r="214" s="139" customFormat="1" x14ac:dyDescent="0.2"/>
    <row r="215" s="139" customFormat="1" x14ac:dyDescent="0.2"/>
    <row r="216" s="139" customFormat="1" x14ac:dyDescent="0.2"/>
    <row r="217" s="139" customFormat="1" x14ac:dyDescent="0.2"/>
    <row r="218" s="139" customFormat="1" x14ac:dyDescent="0.2"/>
    <row r="219" s="139" customFormat="1" x14ac:dyDescent="0.2"/>
    <row r="220" s="139" customFormat="1" x14ac:dyDescent="0.2"/>
    <row r="221" s="139" customFormat="1" x14ac:dyDescent="0.2"/>
    <row r="222" s="139" customFormat="1" x14ac:dyDescent="0.2"/>
    <row r="223" s="139" customFormat="1" x14ac:dyDescent="0.2"/>
    <row r="224" s="139" customFormat="1" x14ac:dyDescent="0.2"/>
    <row r="225" s="139" customFormat="1" x14ac:dyDescent="0.2"/>
    <row r="226" s="139" customFormat="1" x14ac:dyDescent="0.2"/>
    <row r="227" s="139" customFormat="1" x14ac:dyDescent="0.2"/>
    <row r="228" s="139" customFormat="1" x14ac:dyDescent="0.2"/>
    <row r="229" s="139" customFormat="1" x14ac:dyDescent="0.2"/>
    <row r="230" s="139" customFormat="1" x14ac:dyDescent="0.2"/>
  </sheetData>
  <sheetProtection password="E421" sheet="1" objects="1" scenarios="1" selectLockedCells="1"/>
  <mergeCells count="55">
    <mergeCell ref="B1:M7"/>
    <mergeCell ref="F26:M26"/>
    <mergeCell ref="B29:M29"/>
    <mergeCell ref="B20:E20"/>
    <mergeCell ref="F20:M20"/>
    <mergeCell ref="B13:E13"/>
    <mergeCell ref="F13:M13"/>
    <mergeCell ref="B24:E24"/>
    <mergeCell ref="F24:M24"/>
    <mergeCell ref="F17:M17"/>
    <mergeCell ref="F18:M18"/>
    <mergeCell ref="F21:M21"/>
    <mergeCell ref="B19:E19"/>
    <mergeCell ref="F19:M19"/>
    <mergeCell ref="B15:E15"/>
    <mergeCell ref="F15:M15"/>
    <mergeCell ref="B35:M35"/>
    <mergeCell ref="B8:M8"/>
    <mergeCell ref="B9:E9"/>
    <mergeCell ref="B10:E10"/>
    <mergeCell ref="B11:E11"/>
    <mergeCell ref="B12:E12"/>
    <mergeCell ref="B14:E14"/>
    <mergeCell ref="F9:M9"/>
    <mergeCell ref="F10:M10"/>
    <mergeCell ref="F11:M11"/>
    <mergeCell ref="F12:M12"/>
    <mergeCell ref="F14:M14"/>
    <mergeCell ref="F27:M27"/>
    <mergeCell ref="B16:M16"/>
    <mergeCell ref="C27:E27"/>
    <mergeCell ref="F28:M28"/>
    <mergeCell ref="B32:E32"/>
    <mergeCell ref="B34:E34"/>
    <mergeCell ref="F30:M30"/>
    <mergeCell ref="F31:M31"/>
    <mergeCell ref="F32:M32"/>
    <mergeCell ref="B33:E33"/>
    <mergeCell ref="F33:M33"/>
    <mergeCell ref="B36:M71"/>
    <mergeCell ref="B17:E17"/>
    <mergeCell ref="B18:E18"/>
    <mergeCell ref="B21:E21"/>
    <mergeCell ref="B22:E22"/>
    <mergeCell ref="F22:M22"/>
    <mergeCell ref="B23:E23"/>
    <mergeCell ref="F23:M23"/>
    <mergeCell ref="B25:E25"/>
    <mergeCell ref="F25:M25"/>
    <mergeCell ref="C26:E26"/>
    <mergeCell ref="C28:E28"/>
    <mergeCell ref="B26:B28"/>
    <mergeCell ref="F34:M34"/>
    <mergeCell ref="B30:E30"/>
    <mergeCell ref="B31:E31"/>
  </mergeCells>
  <conditionalFormatting sqref="F23:M23">
    <cfRule type="expression" dxfId="488" priority="2">
      <formula>$F$22=""</formula>
    </cfRule>
  </conditionalFormatting>
  <conditionalFormatting sqref="F22:M23">
    <cfRule type="containsErrors" dxfId="487" priority="1">
      <formula>ISERROR(F22)</formula>
    </cfRule>
  </conditionalFormatting>
  <dataValidations count="3">
    <dataValidation type="list" allowBlank="1" showInputMessage="1" showErrorMessage="1" sqref="F14:M14" xr:uid="{00000000-0002-0000-0200-000000000000}">
      <formula1>$C$80:$C$82</formula1>
    </dataValidation>
    <dataValidation type="list" allowBlank="1" showInputMessage="1" showErrorMessage="1" sqref="F21" xr:uid="{00000000-0002-0000-0200-000001000000}">
      <formula1>$C$75:$C$76</formula1>
    </dataValidation>
    <dataValidation type="list" allowBlank="1" showInputMessage="1" showErrorMessage="1" sqref="F24:M24" xr:uid="{00000000-0002-0000-0200-000002000000}">
      <formula1>yes</formula1>
    </dataValidation>
  </dataValidations>
  <hyperlinks>
    <hyperlink ref="B26:B27" r:id="rId1" display="NOAA" xr:uid="{00000000-0004-0000-0200-000000000000}"/>
  </hyperlinks>
  <printOptions horizontalCentered="1"/>
  <pageMargins left="0.7" right="0.7" top="0.75" bottom="0.75" header="0.3" footer="0.3"/>
  <pageSetup scale="44" orientation="portrait" r:id="rId2"/>
  <headerFooter>
    <oddFooter>&amp;A&amp;RPage &amp;P</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C000"/>
  </sheetPr>
  <dimension ref="A1:AA244"/>
  <sheetViews>
    <sheetView topLeftCell="A80" zoomScale="85" zoomScaleNormal="85" workbookViewId="0">
      <selection activeCell="H65" sqref="H65:K65"/>
    </sheetView>
  </sheetViews>
  <sheetFormatPr defaultRowHeight="15" x14ac:dyDescent="0.2"/>
  <cols>
    <col min="1" max="1" width="3.77734375" style="507" customWidth="1"/>
    <col min="2" max="2" width="25.6640625" style="161" customWidth="1"/>
    <col min="3" max="3" width="17.33203125" style="161" customWidth="1"/>
    <col min="4" max="4" width="8.6640625" style="161" customWidth="1"/>
    <col min="5" max="7" width="8.6640625" style="223" customWidth="1"/>
    <col min="8" max="11" width="8.6640625" style="161" customWidth="1"/>
    <col min="12" max="12" width="37.109375" style="160" bestFit="1" customWidth="1"/>
    <col min="13" max="27" width="8.88671875" style="158"/>
    <col min="28" max="16384" width="8.88671875" style="161"/>
  </cols>
  <sheetData>
    <row r="1" spans="2:12" ht="16.5" thickBot="1" x14ac:dyDescent="0.3">
      <c r="B1" s="787" t="s">
        <v>31</v>
      </c>
      <c r="C1" s="787"/>
      <c r="D1" s="787"/>
      <c r="E1" s="788">
        <f>'SITE DATA'!F9</f>
        <v>0</v>
      </c>
      <c r="F1" s="789"/>
      <c r="G1" s="789"/>
      <c r="H1" s="789"/>
      <c r="I1" s="789"/>
      <c r="J1" s="789"/>
      <c r="K1" s="790"/>
    </row>
    <row r="2" spans="2:12" x14ac:dyDescent="0.2">
      <c r="B2" s="158"/>
      <c r="C2" s="158"/>
      <c r="D2" s="158"/>
      <c r="E2" s="160"/>
      <c r="F2" s="160"/>
      <c r="G2" s="160"/>
      <c r="H2" s="158"/>
      <c r="I2" s="158"/>
      <c r="J2" s="158"/>
      <c r="K2" s="158"/>
    </row>
    <row r="3" spans="2:12" ht="18" x14ac:dyDescent="0.25">
      <c r="B3" s="797" t="s">
        <v>7</v>
      </c>
      <c r="C3" s="797"/>
      <c r="D3" s="797"/>
      <c r="E3" s="797"/>
      <c r="F3" s="797"/>
      <c r="G3" s="797"/>
      <c r="H3" s="797"/>
      <c r="I3" s="797"/>
      <c r="J3" s="797"/>
      <c r="K3" s="797"/>
      <c r="L3" s="162"/>
    </row>
    <row r="4" spans="2:12" ht="18" x14ac:dyDescent="0.25">
      <c r="B4" s="797" t="s">
        <v>8</v>
      </c>
      <c r="C4" s="797"/>
      <c r="D4" s="797"/>
      <c r="E4" s="797"/>
      <c r="F4" s="797"/>
      <c r="G4" s="797"/>
      <c r="H4" s="797"/>
      <c r="I4" s="797"/>
      <c r="J4" s="797"/>
      <c r="K4" s="797"/>
      <c r="L4" s="162"/>
    </row>
    <row r="5" spans="2:12" x14ac:dyDescent="0.2">
      <c r="B5" s="158"/>
      <c r="C5" s="158"/>
      <c r="D5" s="158"/>
      <c r="E5" s="160"/>
      <c r="F5" s="160"/>
      <c r="G5" s="160"/>
      <c r="H5" s="158"/>
      <c r="I5" s="158"/>
      <c r="J5" s="158"/>
      <c r="K5" s="158"/>
    </row>
    <row r="6" spans="2:12" x14ac:dyDescent="0.2">
      <c r="B6" s="158"/>
      <c r="C6" s="158"/>
      <c r="D6" s="158"/>
      <c r="E6" s="160"/>
      <c r="F6" s="160"/>
      <c r="G6" s="160"/>
      <c r="H6" s="158"/>
      <c r="I6" s="158"/>
      <c r="J6" s="158"/>
      <c r="K6" s="158"/>
    </row>
    <row r="7" spans="2:12" ht="15.75" thickBot="1" x14ac:dyDescent="0.25">
      <c r="B7" s="158"/>
      <c r="C7" s="158"/>
      <c r="D7" s="158"/>
      <c r="E7" s="160"/>
      <c r="F7" s="160"/>
      <c r="G7" s="160"/>
      <c r="H7" s="158"/>
      <c r="I7" s="158"/>
      <c r="J7" s="158"/>
      <c r="K7" s="158"/>
    </row>
    <row r="8" spans="2:12" ht="24.95" customHeight="1" thickTop="1" thickBot="1" x14ac:dyDescent="0.3">
      <c r="B8" s="801" t="s">
        <v>263</v>
      </c>
      <c r="C8" s="802"/>
      <c r="D8" s="798" t="s">
        <v>9</v>
      </c>
      <c r="E8" s="798"/>
      <c r="F8" s="798"/>
      <c r="G8" s="798"/>
      <c r="H8" s="798" t="s">
        <v>30</v>
      </c>
      <c r="I8" s="798"/>
      <c r="J8" s="798"/>
      <c r="K8" s="798"/>
      <c r="L8" s="238" t="s">
        <v>319</v>
      </c>
    </row>
    <row r="9" spans="2:12" ht="24.95" customHeight="1" thickTop="1" x14ac:dyDescent="0.2">
      <c r="B9" s="754" t="s">
        <v>92</v>
      </c>
      <c r="C9" s="791"/>
      <c r="D9" s="799" t="s">
        <v>755</v>
      </c>
      <c r="E9" s="725"/>
      <c r="F9" s="725"/>
      <c r="G9" s="800"/>
      <c r="H9" s="774" t="s">
        <v>755</v>
      </c>
      <c r="I9" s="775"/>
      <c r="J9" s="775"/>
      <c r="K9" s="776"/>
      <c r="L9" s="163" t="s">
        <v>486</v>
      </c>
    </row>
    <row r="10" spans="2:12" ht="24.95" customHeight="1" x14ac:dyDescent="0.2">
      <c r="B10" s="754" t="s">
        <v>93</v>
      </c>
      <c r="C10" s="791"/>
      <c r="D10" s="799" t="s">
        <v>755</v>
      </c>
      <c r="E10" s="725"/>
      <c r="F10" s="725"/>
      <c r="G10" s="800"/>
      <c r="H10" s="799" t="s">
        <v>756</v>
      </c>
      <c r="I10" s="725"/>
      <c r="J10" s="725"/>
      <c r="K10" s="800"/>
      <c r="L10" s="163"/>
    </row>
    <row r="11" spans="2:12" ht="24.95" customHeight="1" x14ac:dyDescent="0.2">
      <c r="B11" s="754" t="s">
        <v>226</v>
      </c>
      <c r="C11" s="791"/>
      <c r="D11" s="803">
        <f>'SITE DATA'!$F$26</f>
        <v>0</v>
      </c>
      <c r="E11" s="683"/>
      <c r="F11" s="683"/>
      <c r="G11" s="683"/>
      <c r="H11" s="683"/>
      <c r="I11" s="683"/>
      <c r="J11" s="683"/>
      <c r="K11" s="804"/>
      <c r="L11" s="332"/>
    </row>
    <row r="12" spans="2:12" ht="24.95" customHeight="1" x14ac:dyDescent="0.2">
      <c r="B12" s="754" t="s">
        <v>329</v>
      </c>
      <c r="C12" s="791"/>
      <c r="D12" s="803">
        <f>'SITE DATA'!$F$27</f>
        <v>0</v>
      </c>
      <c r="E12" s="683"/>
      <c r="F12" s="683"/>
      <c r="G12" s="683"/>
      <c r="H12" s="683"/>
      <c r="I12" s="683"/>
      <c r="J12" s="683"/>
      <c r="K12" s="804"/>
      <c r="L12" s="332" t="s">
        <v>266</v>
      </c>
    </row>
    <row r="13" spans="2:12" ht="24.95" customHeight="1" x14ac:dyDescent="0.2">
      <c r="B13" s="754" t="s">
        <v>375</v>
      </c>
      <c r="C13" s="791"/>
      <c r="D13" s="803">
        <f>'SITE DATA'!$F$28</f>
        <v>0</v>
      </c>
      <c r="E13" s="683"/>
      <c r="F13" s="683"/>
      <c r="G13" s="683"/>
      <c r="H13" s="683"/>
      <c r="I13" s="683"/>
      <c r="J13" s="683"/>
      <c r="K13" s="804"/>
      <c r="L13" s="332"/>
    </row>
    <row r="14" spans="2:12" ht="24.95" customHeight="1" x14ac:dyDescent="0.2">
      <c r="B14" s="754" t="s">
        <v>307</v>
      </c>
      <c r="C14" s="791"/>
      <c r="D14" s="792" t="s">
        <v>755</v>
      </c>
      <c r="E14" s="793"/>
      <c r="F14" s="793"/>
      <c r="G14" s="793"/>
      <c r="H14" s="793" t="s">
        <v>755</v>
      </c>
      <c r="I14" s="793"/>
      <c r="J14" s="793"/>
      <c r="K14" s="793"/>
      <c r="L14" s="163"/>
    </row>
    <row r="15" spans="2:12" ht="24.95" customHeight="1" x14ac:dyDescent="0.2">
      <c r="B15" s="754" t="s">
        <v>306</v>
      </c>
      <c r="C15" s="791"/>
      <c r="D15" s="793" t="s">
        <v>755</v>
      </c>
      <c r="E15" s="793"/>
      <c r="F15" s="793"/>
      <c r="G15" s="793"/>
      <c r="H15" s="793" t="s">
        <v>755</v>
      </c>
      <c r="I15" s="793"/>
      <c r="J15" s="793"/>
      <c r="K15" s="793"/>
      <c r="L15" s="163"/>
    </row>
    <row r="16" spans="2:12" ht="24.95" customHeight="1" x14ac:dyDescent="0.2">
      <c r="B16" s="784" t="s">
        <v>487</v>
      </c>
      <c r="C16" s="785"/>
      <c r="D16" s="429" t="s">
        <v>15</v>
      </c>
      <c r="E16" s="430" t="s">
        <v>16</v>
      </c>
      <c r="F16" s="430" t="s">
        <v>18</v>
      </c>
      <c r="G16" s="431" t="s">
        <v>17</v>
      </c>
      <c r="H16" s="432" t="s">
        <v>15</v>
      </c>
      <c r="I16" s="430" t="s">
        <v>16</v>
      </c>
      <c r="J16" s="430" t="s">
        <v>18</v>
      </c>
      <c r="K16" s="431" t="s">
        <v>17</v>
      </c>
      <c r="L16" s="766" t="s">
        <v>177</v>
      </c>
    </row>
    <row r="17" spans="2:12" ht="24.95" customHeight="1" x14ac:dyDescent="0.2">
      <c r="B17" s="754" t="s">
        <v>12</v>
      </c>
      <c r="C17" s="791"/>
      <c r="D17" s="428"/>
      <c r="E17" s="416"/>
      <c r="F17" s="416" t="s">
        <v>755</v>
      </c>
      <c r="G17" s="427"/>
      <c r="H17" s="428"/>
      <c r="I17" s="416"/>
      <c r="J17" s="416" t="s">
        <v>755</v>
      </c>
      <c r="K17" s="427"/>
      <c r="L17" s="766"/>
    </row>
    <row r="18" spans="2:12" ht="24.95" customHeight="1" x14ac:dyDescent="0.2">
      <c r="B18" s="754" t="s">
        <v>253</v>
      </c>
      <c r="C18" s="791"/>
      <c r="D18" s="428"/>
      <c r="E18" s="416"/>
      <c r="F18" s="416"/>
      <c r="G18" s="427"/>
      <c r="H18" s="428"/>
      <c r="I18" s="416"/>
      <c r="J18" s="416"/>
      <c r="K18" s="427"/>
      <c r="L18" s="766"/>
    </row>
    <row r="19" spans="2:12" ht="24.95" customHeight="1" x14ac:dyDescent="0.2">
      <c r="B19" s="754" t="s">
        <v>260</v>
      </c>
      <c r="C19" s="791"/>
      <c r="D19" s="428"/>
      <c r="E19" s="416"/>
      <c r="F19" s="416"/>
      <c r="G19" s="427"/>
      <c r="H19" s="428"/>
      <c r="I19" s="416"/>
      <c r="J19" s="416"/>
      <c r="K19" s="427"/>
      <c r="L19" s="766"/>
    </row>
    <row r="20" spans="2:12" ht="24.95" customHeight="1" x14ac:dyDescent="0.2">
      <c r="B20" s="754" t="s">
        <v>259</v>
      </c>
      <c r="C20" s="791"/>
      <c r="D20" s="428"/>
      <c r="E20" s="416" t="s">
        <v>755</v>
      </c>
      <c r="F20" s="416"/>
      <c r="G20" s="427"/>
      <c r="H20" s="428"/>
      <c r="I20" s="416" t="s">
        <v>755</v>
      </c>
      <c r="J20" s="416"/>
      <c r="K20" s="427"/>
      <c r="L20" s="766"/>
    </row>
    <row r="21" spans="2:12" ht="24.95" customHeight="1" x14ac:dyDescent="0.2">
      <c r="B21" s="754" t="s">
        <v>255</v>
      </c>
      <c r="C21" s="791"/>
      <c r="D21" s="428"/>
      <c r="E21" s="416"/>
      <c r="F21" s="416"/>
      <c r="G21" s="427"/>
      <c r="H21" s="428"/>
      <c r="I21" s="416"/>
      <c r="J21" s="416"/>
      <c r="K21" s="427"/>
      <c r="L21" s="766"/>
    </row>
    <row r="22" spans="2:12" ht="24.95" customHeight="1" x14ac:dyDescent="0.2">
      <c r="B22" s="754" t="s">
        <v>262</v>
      </c>
      <c r="C22" s="791"/>
      <c r="D22" s="428"/>
      <c r="E22" s="416"/>
      <c r="F22" s="416"/>
      <c r="G22" s="427"/>
      <c r="H22" s="428"/>
      <c r="I22" s="416"/>
      <c r="J22" s="416"/>
      <c r="K22" s="427"/>
      <c r="L22" s="766"/>
    </row>
    <row r="23" spans="2:12" ht="24.95" customHeight="1" x14ac:dyDescent="0.2">
      <c r="B23" s="754" t="s">
        <v>261</v>
      </c>
      <c r="C23" s="791"/>
      <c r="D23" s="428"/>
      <c r="E23" s="416"/>
      <c r="F23" s="416"/>
      <c r="G23" s="427"/>
      <c r="H23" s="428"/>
      <c r="I23" s="416" t="s">
        <v>755</v>
      </c>
      <c r="J23" s="416"/>
      <c r="K23" s="427"/>
      <c r="L23" s="766"/>
    </row>
    <row r="24" spans="2:12" ht="24.95" customHeight="1" x14ac:dyDescent="0.2">
      <c r="B24" s="754" t="s">
        <v>245</v>
      </c>
      <c r="C24" s="791"/>
      <c r="D24" s="428"/>
      <c r="E24" s="416"/>
      <c r="F24" s="416"/>
      <c r="G24" s="427"/>
      <c r="H24" s="428"/>
      <c r="I24" s="416"/>
      <c r="J24" s="416"/>
      <c r="K24" s="427"/>
      <c r="L24" s="766"/>
    </row>
    <row r="25" spans="2:12" ht="24.95" customHeight="1" x14ac:dyDescent="0.25">
      <c r="B25" s="754" t="s">
        <v>369</v>
      </c>
      <c r="C25" s="791"/>
      <c r="D25" s="428"/>
      <c r="E25" s="416"/>
      <c r="F25" s="416"/>
      <c r="G25" s="427"/>
      <c r="H25" s="428"/>
      <c r="I25" s="416"/>
      <c r="J25" s="416"/>
      <c r="K25" s="427"/>
      <c r="L25" s="417"/>
    </row>
    <row r="26" spans="2:12" ht="24.95" customHeight="1" thickBot="1" x14ac:dyDescent="0.3">
      <c r="B26" s="830" t="s">
        <v>368</v>
      </c>
      <c r="C26" s="831"/>
      <c r="D26" s="433"/>
      <c r="E26" s="434"/>
      <c r="F26" s="434"/>
      <c r="G26" s="435"/>
      <c r="H26" s="433"/>
      <c r="I26" s="434"/>
      <c r="J26" s="434" t="s">
        <v>755</v>
      </c>
      <c r="K26" s="435"/>
      <c r="L26" s="417" t="str">
        <f>IF(OR(SUM($H$17:$K$26)&gt;$H$10,SUM($H$17:$K$26)&lt;$H$10),"LAND USE MUST MATCH SITE ACREAGE","")</f>
        <v>LAND USE MUST MATCH SITE ACREAGE</v>
      </c>
    </row>
    <row r="27" spans="2:12" ht="24.95" customHeight="1" thickTop="1" thickBot="1" x14ac:dyDescent="0.25">
      <c r="B27" s="443" t="s">
        <v>264</v>
      </c>
      <c r="C27" s="444"/>
      <c r="D27" s="805" t="s">
        <v>56</v>
      </c>
      <c r="E27" s="805"/>
      <c r="F27" s="805"/>
      <c r="G27" s="805"/>
      <c r="H27" s="805" t="s">
        <v>57</v>
      </c>
      <c r="I27" s="805"/>
      <c r="J27" s="805"/>
      <c r="K27" s="805"/>
      <c r="L27" s="418"/>
    </row>
    <row r="28" spans="2:12" ht="24.95" customHeight="1" thickTop="1" x14ac:dyDescent="0.2">
      <c r="B28" s="795" t="s">
        <v>404</v>
      </c>
      <c r="C28" s="796"/>
      <c r="D28" s="794"/>
      <c r="E28" s="794"/>
      <c r="F28" s="794"/>
      <c r="G28" s="794"/>
      <c r="H28" s="794"/>
      <c r="I28" s="794"/>
      <c r="J28" s="794"/>
      <c r="K28" s="794"/>
      <c r="L28" s="736"/>
    </row>
    <row r="29" spans="2:12" ht="24.95" customHeight="1" x14ac:dyDescent="0.2">
      <c r="B29" s="770" t="s">
        <v>87</v>
      </c>
      <c r="C29" s="771"/>
      <c r="D29" s="774" t="s">
        <v>755</v>
      </c>
      <c r="E29" s="775"/>
      <c r="F29" s="775"/>
      <c r="G29" s="776"/>
      <c r="H29" s="774" t="s">
        <v>755</v>
      </c>
      <c r="I29" s="775"/>
      <c r="J29" s="775"/>
      <c r="K29" s="776"/>
      <c r="L29" s="736"/>
    </row>
    <row r="30" spans="2:12" ht="24.95" customHeight="1" x14ac:dyDescent="0.2">
      <c r="B30" s="770" t="s">
        <v>88</v>
      </c>
      <c r="C30" s="771"/>
      <c r="D30" s="777" t="s">
        <v>755</v>
      </c>
      <c r="E30" s="778"/>
      <c r="F30" s="778"/>
      <c r="G30" s="779"/>
      <c r="H30" s="777" t="s">
        <v>755</v>
      </c>
      <c r="I30" s="778"/>
      <c r="J30" s="778"/>
      <c r="K30" s="779"/>
      <c r="L30" s="766" t="s">
        <v>95</v>
      </c>
    </row>
    <row r="31" spans="2:12" ht="24.95" customHeight="1" x14ac:dyDescent="0.2">
      <c r="B31" s="770" t="s">
        <v>60</v>
      </c>
      <c r="C31" s="771"/>
      <c r="D31" s="774"/>
      <c r="E31" s="775"/>
      <c r="F31" s="775"/>
      <c r="G31" s="776"/>
      <c r="H31" s="774"/>
      <c r="I31" s="775"/>
      <c r="J31" s="775"/>
      <c r="K31" s="776"/>
      <c r="L31" s="766"/>
    </row>
    <row r="32" spans="2:12" ht="24.95" customHeight="1" x14ac:dyDescent="0.2">
      <c r="B32" s="781" t="s">
        <v>86</v>
      </c>
      <c r="C32" s="782"/>
      <c r="D32" s="769" t="str">
        <f>IF(D31=$B$143,$G$143,IF(D31=$B$144,$G$144,IF(D31=$B$145,$G$145,"")))</f>
        <v/>
      </c>
      <c r="E32" s="769"/>
      <c r="F32" s="769"/>
      <c r="G32" s="769"/>
      <c r="H32" s="769" t="str">
        <f>IF(H31=$B$143,$G$143,IF(H31=$B$144,$G$144,IF(H31=$B$145,$G$145,"")))</f>
        <v/>
      </c>
      <c r="I32" s="769"/>
      <c r="J32" s="769"/>
      <c r="K32" s="769"/>
      <c r="L32" s="766"/>
    </row>
    <row r="33" spans="2:12" ht="24.95" customHeight="1" x14ac:dyDescent="0.2">
      <c r="B33" s="770" t="s">
        <v>89</v>
      </c>
      <c r="C33" s="780"/>
      <c r="D33" s="769" t="e">
        <f>IF(D29&gt;0,(0.007*(D32*D29)^0.8)/(($D$11^0.5)*(D30^0.4)),0)</f>
        <v>#VALUE!</v>
      </c>
      <c r="E33" s="769"/>
      <c r="F33" s="769"/>
      <c r="G33" s="769"/>
      <c r="H33" s="769" t="e">
        <f>IF(H29&gt;0,(0.007*(H32*H29)^0.8)/(($D$11^0.5)*(H30^0.4)),0)</f>
        <v>#VALUE!</v>
      </c>
      <c r="I33" s="769"/>
      <c r="J33" s="769"/>
      <c r="K33" s="769"/>
      <c r="L33" s="766"/>
    </row>
    <row r="34" spans="2:12" ht="24.95" customHeight="1" x14ac:dyDescent="0.2">
      <c r="B34" s="795" t="s">
        <v>405</v>
      </c>
      <c r="C34" s="796"/>
      <c r="D34" s="570"/>
      <c r="E34" s="570"/>
      <c r="F34" s="570"/>
      <c r="G34" s="570"/>
      <c r="H34" s="570"/>
      <c r="I34" s="570"/>
      <c r="J34" s="570"/>
      <c r="K34" s="571"/>
      <c r="L34" s="419"/>
    </row>
    <row r="35" spans="2:12" ht="24.95" customHeight="1" x14ac:dyDescent="0.2">
      <c r="B35" s="770" t="s">
        <v>87</v>
      </c>
      <c r="C35" s="771"/>
      <c r="D35" s="774" t="s">
        <v>755</v>
      </c>
      <c r="E35" s="775"/>
      <c r="F35" s="775"/>
      <c r="G35" s="776"/>
      <c r="H35" s="774" t="s">
        <v>755</v>
      </c>
      <c r="I35" s="775"/>
      <c r="J35" s="775"/>
      <c r="K35" s="776"/>
      <c r="L35" s="163"/>
    </row>
    <row r="36" spans="2:12" ht="24.95" customHeight="1" x14ac:dyDescent="0.2">
      <c r="B36" s="770" t="s">
        <v>88</v>
      </c>
      <c r="C36" s="771"/>
      <c r="D36" s="777" t="s">
        <v>755</v>
      </c>
      <c r="E36" s="778"/>
      <c r="F36" s="778"/>
      <c r="G36" s="779"/>
      <c r="H36" s="777" t="s">
        <v>755</v>
      </c>
      <c r="I36" s="778"/>
      <c r="J36" s="778"/>
      <c r="K36" s="779"/>
      <c r="L36" s="163"/>
    </row>
    <row r="37" spans="2:12" ht="24.95" customHeight="1" x14ac:dyDescent="0.2">
      <c r="B37" s="770" t="s">
        <v>60</v>
      </c>
      <c r="C37" s="771"/>
      <c r="D37" s="774"/>
      <c r="E37" s="775"/>
      <c r="F37" s="775"/>
      <c r="G37" s="776"/>
      <c r="H37" s="774"/>
      <c r="I37" s="775"/>
      <c r="J37" s="775"/>
      <c r="K37" s="776"/>
      <c r="L37" s="163"/>
    </row>
    <row r="38" spans="2:12" ht="24.95" customHeight="1" x14ac:dyDescent="0.2">
      <c r="B38" s="781" t="s">
        <v>96</v>
      </c>
      <c r="C38" s="782"/>
      <c r="D38" s="783">
        <f>IF(D37="Unpaved",16.1345*D36^0.5,IF(D37="Paved",20.32828*D36^0.5,0))</f>
        <v>0</v>
      </c>
      <c r="E38" s="783"/>
      <c r="F38" s="783"/>
      <c r="G38" s="783"/>
      <c r="H38" s="783">
        <f>IF(H37="Unpaved",16.1345*H36^0.5,IF(H37="Paved",20.32828*H36^0.5,0))</f>
        <v>0</v>
      </c>
      <c r="I38" s="783"/>
      <c r="J38" s="783"/>
      <c r="K38" s="783"/>
      <c r="L38" s="766" t="s">
        <v>131</v>
      </c>
    </row>
    <row r="39" spans="2:12" ht="24.95" customHeight="1" x14ac:dyDescent="0.2">
      <c r="B39" s="770" t="s">
        <v>89</v>
      </c>
      <c r="C39" s="780"/>
      <c r="D39" s="783">
        <f>IF(D38&gt;0,D35/(3600*D38),0)</f>
        <v>0</v>
      </c>
      <c r="E39" s="783"/>
      <c r="F39" s="783"/>
      <c r="G39" s="783"/>
      <c r="H39" s="783">
        <f>IF(H38&gt;0,H35/(3600*H38),0)</f>
        <v>0</v>
      </c>
      <c r="I39" s="783"/>
      <c r="J39" s="783"/>
      <c r="K39" s="783"/>
      <c r="L39" s="766"/>
    </row>
    <row r="40" spans="2:12" ht="24.95" customHeight="1" x14ac:dyDescent="0.2">
      <c r="B40" s="784" t="s">
        <v>406</v>
      </c>
      <c r="C40" s="785"/>
      <c r="D40" s="772"/>
      <c r="E40" s="772"/>
      <c r="F40" s="772"/>
      <c r="G40" s="772"/>
      <c r="H40" s="772"/>
      <c r="I40" s="772"/>
      <c r="J40" s="772"/>
      <c r="K40" s="773"/>
      <c r="L40" s="163"/>
    </row>
    <row r="41" spans="2:12" ht="24.95" customHeight="1" x14ac:dyDescent="0.2">
      <c r="B41" s="770" t="s">
        <v>87</v>
      </c>
      <c r="C41" s="771"/>
      <c r="D41" s="739" t="s">
        <v>756</v>
      </c>
      <c r="E41" s="739"/>
      <c r="F41" s="739"/>
      <c r="G41" s="739"/>
      <c r="H41" s="774" t="s">
        <v>756</v>
      </c>
      <c r="I41" s="775"/>
      <c r="J41" s="775"/>
      <c r="K41" s="776"/>
      <c r="L41" s="163"/>
    </row>
    <row r="42" spans="2:12" ht="24.95" customHeight="1" x14ac:dyDescent="0.2">
      <c r="B42" s="770" t="s">
        <v>88</v>
      </c>
      <c r="C42" s="771"/>
      <c r="D42" s="786" t="s">
        <v>755</v>
      </c>
      <c r="E42" s="786"/>
      <c r="F42" s="786"/>
      <c r="G42" s="786"/>
      <c r="H42" s="777" t="s">
        <v>755</v>
      </c>
      <c r="I42" s="778"/>
      <c r="J42" s="778"/>
      <c r="K42" s="779"/>
      <c r="L42" s="163"/>
    </row>
    <row r="43" spans="2:12" ht="24.95" customHeight="1" x14ac:dyDescent="0.2">
      <c r="B43" s="770" t="s">
        <v>108</v>
      </c>
      <c r="C43" s="771"/>
      <c r="D43" s="739" t="s">
        <v>755</v>
      </c>
      <c r="E43" s="739"/>
      <c r="F43" s="739"/>
      <c r="G43" s="739"/>
      <c r="H43" s="774" t="s">
        <v>755</v>
      </c>
      <c r="I43" s="775"/>
      <c r="J43" s="775"/>
      <c r="K43" s="776"/>
      <c r="L43" s="163"/>
    </row>
    <row r="44" spans="2:12" ht="24.95" customHeight="1" x14ac:dyDescent="0.2">
      <c r="B44" s="767" t="s">
        <v>90</v>
      </c>
      <c r="C44" s="768"/>
      <c r="D44" s="739" t="s">
        <v>755</v>
      </c>
      <c r="E44" s="739"/>
      <c r="F44" s="739"/>
      <c r="G44" s="739"/>
      <c r="H44" s="774" t="s">
        <v>755</v>
      </c>
      <c r="I44" s="775"/>
      <c r="J44" s="775"/>
      <c r="K44" s="776"/>
      <c r="L44" s="163"/>
    </row>
    <row r="45" spans="2:12" ht="24.95" customHeight="1" x14ac:dyDescent="0.2">
      <c r="B45" s="770" t="s">
        <v>116</v>
      </c>
      <c r="C45" s="771"/>
      <c r="D45" s="739"/>
      <c r="E45" s="739"/>
      <c r="F45" s="739"/>
      <c r="G45" s="739"/>
      <c r="H45" s="774"/>
      <c r="I45" s="775"/>
      <c r="J45" s="775"/>
      <c r="K45" s="776"/>
      <c r="L45" s="163"/>
    </row>
    <row r="46" spans="2:12" ht="24.95" customHeight="1" x14ac:dyDescent="0.2">
      <c r="B46" s="781" t="s">
        <v>86</v>
      </c>
      <c r="C46" s="782"/>
      <c r="D46" s="769" t="str">
        <f>IF(D45="Asphalt",$G$151,IF(D45="Concrete, finished",$G$152,IF(D45="Concrete, unfinished",$G$153,IF(D45="Grass",$G$154,IF(D45="Gravel Bottom/riprap sides",$G$155,IF(D45="Weeds",$G$156,""))))))</f>
        <v/>
      </c>
      <c r="E46" s="769"/>
      <c r="F46" s="769"/>
      <c r="G46" s="769"/>
      <c r="H46" s="769" t="str">
        <f>IF(H45="Asphalt",$G$151,IF(H45="Concrete, finished",$G$152,IF(H45="Concrete, unfinished",$G$153,IF(H45="Grass",$G$154,IF(H45="Gravel Bottom/riprap sides",$G$155,IF(H45="Weeds",$G$156,""))))))</f>
        <v/>
      </c>
      <c r="I46" s="769"/>
      <c r="J46" s="769"/>
      <c r="K46" s="769"/>
      <c r="L46" s="766" t="s">
        <v>174</v>
      </c>
    </row>
    <row r="47" spans="2:12" ht="24.95" customHeight="1" x14ac:dyDescent="0.2">
      <c r="B47" s="781" t="s">
        <v>109</v>
      </c>
      <c r="C47" s="782"/>
      <c r="D47" s="783">
        <f>IF(ISERROR(D43/D44),0,D43/D44)</f>
        <v>0</v>
      </c>
      <c r="E47" s="783"/>
      <c r="F47" s="783"/>
      <c r="G47" s="783"/>
      <c r="H47" s="783">
        <f>IF(ISERROR(H43/H44),0,H43/H44)</f>
        <v>0</v>
      </c>
      <c r="I47" s="783"/>
      <c r="J47" s="783"/>
      <c r="K47" s="783"/>
      <c r="L47" s="766"/>
    </row>
    <row r="48" spans="2:12" ht="24.95" customHeight="1" x14ac:dyDescent="0.2">
      <c r="B48" s="781" t="s">
        <v>96</v>
      </c>
      <c r="C48" s="782"/>
      <c r="D48" s="783" t="e">
        <f>IF(D44&gt;0,(1.49*(D47^(2/3))*(D42^0.5))/D46,0)</f>
        <v>#VALUE!</v>
      </c>
      <c r="E48" s="783"/>
      <c r="F48" s="783"/>
      <c r="G48" s="783"/>
      <c r="H48" s="783" t="e">
        <f>IF(H44&gt;0,(1.49*(H47^(2/3))*(H42^0.5))/H46,0)</f>
        <v>#VALUE!</v>
      </c>
      <c r="I48" s="783"/>
      <c r="J48" s="783"/>
      <c r="K48" s="783"/>
      <c r="L48" s="766"/>
    </row>
    <row r="49" spans="2:12" ht="24.95" customHeight="1" x14ac:dyDescent="0.2">
      <c r="B49" s="770" t="s">
        <v>89</v>
      </c>
      <c r="C49" s="780"/>
      <c r="D49" s="783" t="e">
        <f>IF(D44&gt;0,D41/(3600*D48),0)</f>
        <v>#VALUE!</v>
      </c>
      <c r="E49" s="783"/>
      <c r="F49" s="783"/>
      <c r="G49" s="783"/>
      <c r="H49" s="783" t="e">
        <f>IF(H44&gt;0,H41/(3600*H48),0)</f>
        <v>#VALUE!</v>
      </c>
      <c r="I49" s="783"/>
      <c r="J49" s="783"/>
      <c r="K49" s="783"/>
      <c r="L49" s="766"/>
    </row>
    <row r="50" spans="2:12" ht="24.95" customHeight="1" x14ac:dyDescent="0.2">
      <c r="B50" s="784" t="s">
        <v>407</v>
      </c>
      <c r="C50" s="785"/>
      <c r="D50" s="772"/>
      <c r="E50" s="772"/>
      <c r="F50" s="772"/>
      <c r="G50" s="772"/>
      <c r="H50" s="772"/>
      <c r="I50" s="772"/>
      <c r="J50" s="772"/>
      <c r="K50" s="773"/>
      <c r="L50" s="163"/>
    </row>
    <row r="51" spans="2:12" ht="24.95" customHeight="1" x14ac:dyDescent="0.2">
      <c r="B51" s="770" t="s">
        <v>87</v>
      </c>
      <c r="C51" s="771"/>
      <c r="D51" s="739" t="s">
        <v>755</v>
      </c>
      <c r="E51" s="739"/>
      <c r="F51" s="739"/>
      <c r="G51" s="739"/>
      <c r="H51" s="739" t="s">
        <v>755</v>
      </c>
      <c r="I51" s="739"/>
      <c r="J51" s="739"/>
      <c r="K51" s="739"/>
      <c r="L51" s="163"/>
    </row>
    <row r="52" spans="2:12" ht="24.95" customHeight="1" x14ac:dyDescent="0.2">
      <c r="B52" s="770" t="s">
        <v>88</v>
      </c>
      <c r="C52" s="771"/>
      <c r="D52" s="786" t="s">
        <v>755</v>
      </c>
      <c r="E52" s="786"/>
      <c r="F52" s="786"/>
      <c r="G52" s="786"/>
      <c r="H52" s="786" t="s">
        <v>755</v>
      </c>
      <c r="I52" s="786"/>
      <c r="J52" s="786"/>
      <c r="K52" s="786"/>
      <c r="L52" s="163"/>
    </row>
    <row r="53" spans="2:12" ht="24.95" customHeight="1" x14ac:dyDescent="0.2">
      <c r="B53" s="770" t="s">
        <v>108</v>
      </c>
      <c r="C53" s="771"/>
      <c r="D53" s="739" t="s">
        <v>755</v>
      </c>
      <c r="E53" s="739"/>
      <c r="F53" s="739"/>
      <c r="G53" s="739"/>
      <c r="H53" s="739" t="s">
        <v>755</v>
      </c>
      <c r="I53" s="739"/>
      <c r="J53" s="739"/>
      <c r="K53" s="739"/>
      <c r="L53" s="163"/>
    </row>
    <row r="54" spans="2:12" ht="24.95" customHeight="1" x14ac:dyDescent="0.2">
      <c r="B54" s="767" t="s">
        <v>90</v>
      </c>
      <c r="C54" s="768"/>
      <c r="D54" s="739" t="s">
        <v>755</v>
      </c>
      <c r="E54" s="739"/>
      <c r="F54" s="739"/>
      <c r="G54" s="739"/>
      <c r="H54" s="739" t="s">
        <v>755</v>
      </c>
      <c r="I54" s="739"/>
      <c r="J54" s="739"/>
      <c r="K54" s="739"/>
      <c r="L54" s="163"/>
    </row>
    <row r="55" spans="2:12" ht="24.95" customHeight="1" x14ac:dyDescent="0.2">
      <c r="B55" s="770" t="s">
        <v>116</v>
      </c>
      <c r="C55" s="771"/>
      <c r="D55" s="739"/>
      <c r="E55" s="739"/>
      <c r="F55" s="739"/>
      <c r="G55" s="739"/>
      <c r="H55" s="739"/>
      <c r="I55" s="739"/>
      <c r="J55" s="739"/>
      <c r="K55" s="739"/>
      <c r="L55" s="163"/>
    </row>
    <row r="56" spans="2:12" ht="24.95" customHeight="1" x14ac:dyDescent="0.2">
      <c r="B56" s="781" t="s">
        <v>86</v>
      </c>
      <c r="C56" s="782"/>
      <c r="D56" s="769" t="str">
        <f>IF(D55="Asphalt",$G$151,IF(D55="Concrete, finished",$G$152,IF(D55="Concrete, unfinished",$G$153,IF(D55="Grass",$G$154,IF(D55="Gravel Bottom/riprap sides",$G$155,IF(D55="Weeds",$G$156,""))))))</f>
        <v/>
      </c>
      <c r="E56" s="769"/>
      <c r="F56" s="769"/>
      <c r="G56" s="769"/>
      <c r="H56" s="769" t="str">
        <f>IF(H55="Asphalt",$G$151,IF(H55="Concrete, finished",$G$152,IF(H55="Concrete, unfinished",$G$153,IF(H55="Grass",$G$154,IF(H55="Gravel Bottom/riprap sides",$G$155,IF(H55="Weeds",$G$156,""))))))</f>
        <v/>
      </c>
      <c r="I56" s="769"/>
      <c r="J56" s="769"/>
      <c r="K56" s="769"/>
      <c r="L56" s="766" t="s">
        <v>174</v>
      </c>
    </row>
    <row r="57" spans="2:12" ht="24.95" customHeight="1" x14ac:dyDescent="0.2">
      <c r="B57" s="781" t="s">
        <v>109</v>
      </c>
      <c r="C57" s="782"/>
      <c r="D57" s="783">
        <f>IF(ISERROR(D53/D54),0,D53/D54)</f>
        <v>0</v>
      </c>
      <c r="E57" s="783"/>
      <c r="F57" s="783"/>
      <c r="G57" s="783"/>
      <c r="H57" s="783">
        <f>IF(ISERROR(H53/H54),0,H53/H54)</f>
        <v>0</v>
      </c>
      <c r="I57" s="783"/>
      <c r="J57" s="783"/>
      <c r="K57" s="783"/>
      <c r="L57" s="766"/>
    </row>
    <row r="58" spans="2:12" ht="24.95" customHeight="1" x14ac:dyDescent="0.2">
      <c r="B58" s="781" t="s">
        <v>96</v>
      </c>
      <c r="C58" s="782"/>
      <c r="D58" s="783" t="e">
        <f>IF(D54&gt;0,(1.49*(D57^(2/3))*(D52^0.5))/D56,0)</f>
        <v>#VALUE!</v>
      </c>
      <c r="E58" s="783"/>
      <c r="F58" s="783"/>
      <c r="G58" s="783"/>
      <c r="H58" s="783" t="e">
        <f>IF(H54&gt;0,(1.49*(H57^(2/3))*(H52^0.5))/H56,0)</f>
        <v>#VALUE!</v>
      </c>
      <c r="I58" s="783"/>
      <c r="J58" s="783"/>
      <c r="K58" s="783"/>
      <c r="L58" s="766"/>
    </row>
    <row r="59" spans="2:12" ht="24.95" customHeight="1" x14ac:dyDescent="0.2">
      <c r="B59" s="770" t="s">
        <v>89</v>
      </c>
      <c r="C59" s="780"/>
      <c r="D59" s="783" t="e">
        <f>IF(D54&gt;0,D51/(3600*D58),0)</f>
        <v>#VALUE!</v>
      </c>
      <c r="E59" s="783"/>
      <c r="F59" s="783"/>
      <c r="G59" s="783"/>
      <c r="H59" s="783" t="e">
        <f>IF(H54&gt;0,H51/(3600*H58),0)</f>
        <v>#VALUE!</v>
      </c>
      <c r="I59" s="783"/>
      <c r="J59" s="783"/>
      <c r="K59" s="783"/>
      <c r="L59" s="766"/>
    </row>
    <row r="60" spans="2:12" ht="24.95" customHeight="1" x14ac:dyDescent="0.2">
      <c r="B60" s="784" t="s">
        <v>408</v>
      </c>
      <c r="C60" s="785"/>
      <c r="D60" s="772"/>
      <c r="E60" s="772"/>
      <c r="F60" s="772"/>
      <c r="G60" s="772"/>
      <c r="H60" s="772"/>
      <c r="I60" s="772"/>
      <c r="J60" s="772"/>
      <c r="K60" s="773"/>
      <c r="L60" s="163"/>
    </row>
    <row r="61" spans="2:12" ht="24.95" customHeight="1" x14ac:dyDescent="0.2">
      <c r="B61" s="770" t="s">
        <v>87</v>
      </c>
      <c r="C61" s="771"/>
      <c r="D61" s="739"/>
      <c r="E61" s="739"/>
      <c r="F61" s="739"/>
      <c r="G61" s="739"/>
      <c r="H61" s="739" t="s">
        <v>755</v>
      </c>
      <c r="I61" s="739"/>
      <c r="J61" s="739"/>
      <c r="K61" s="739"/>
      <c r="L61" s="163"/>
    </row>
    <row r="62" spans="2:12" ht="24.95" customHeight="1" x14ac:dyDescent="0.2">
      <c r="B62" s="770" t="s">
        <v>88</v>
      </c>
      <c r="C62" s="771"/>
      <c r="D62" s="786"/>
      <c r="E62" s="786"/>
      <c r="F62" s="786"/>
      <c r="G62" s="786"/>
      <c r="H62" s="786" t="s">
        <v>755</v>
      </c>
      <c r="I62" s="786"/>
      <c r="J62" s="786"/>
      <c r="K62" s="786"/>
      <c r="L62" s="163"/>
    </row>
    <row r="63" spans="2:12" ht="24.95" customHeight="1" x14ac:dyDescent="0.2">
      <c r="B63" s="770" t="s">
        <v>108</v>
      </c>
      <c r="C63" s="771"/>
      <c r="D63" s="739"/>
      <c r="E63" s="739"/>
      <c r="F63" s="739"/>
      <c r="G63" s="739"/>
      <c r="H63" s="739" t="s">
        <v>755</v>
      </c>
      <c r="I63" s="739"/>
      <c r="J63" s="739"/>
      <c r="K63" s="739"/>
      <c r="L63" s="163"/>
    </row>
    <row r="64" spans="2:12" ht="24.95" customHeight="1" x14ac:dyDescent="0.2">
      <c r="B64" s="821" t="s">
        <v>90</v>
      </c>
      <c r="C64" s="822"/>
      <c r="D64" s="739"/>
      <c r="E64" s="739"/>
      <c r="F64" s="739"/>
      <c r="G64" s="739"/>
      <c r="H64" s="739" t="s">
        <v>755</v>
      </c>
      <c r="I64" s="739"/>
      <c r="J64" s="739"/>
      <c r="K64" s="739"/>
      <c r="L64" s="163"/>
    </row>
    <row r="65" spans="1:27" ht="24.95" customHeight="1" x14ac:dyDescent="0.2">
      <c r="B65" s="770" t="s">
        <v>116</v>
      </c>
      <c r="C65" s="771"/>
      <c r="D65" s="739"/>
      <c r="E65" s="739"/>
      <c r="F65" s="739"/>
      <c r="G65" s="739"/>
      <c r="H65" s="739"/>
      <c r="I65" s="739"/>
      <c r="J65" s="739"/>
      <c r="K65" s="739"/>
      <c r="L65" s="163"/>
    </row>
    <row r="66" spans="1:27" ht="24.95" customHeight="1" x14ac:dyDescent="0.2">
      <c r="B66" s="781" t="s">
        <v>86</v>
      </c>
      <c r="C66" s="782"/>
      <c r="D66" s="769" t="str">
        <f>IF(D65="Asphalt",$G$151,IF(D65="Concrete, finished",$G$152,IF(D65="Concrete, unfinished",$G$153,IF(D65="Grass",$G$154,IF(D65="Gravel Bottom/riprap sides",$G$155,IF(D65="Weeds",$G$156,""))))))</f>
        <v/>
      </c>
      <c r="E66" s="769"/>
      <c r="F66" s="769"/>
      <c r="G66" s="769"/>
      <c r="H66" s="769" t="str">
        <f>IF(H65="Asphalt",$G$151,IF(H65="Concrete, finished",$G$152,IF(H65="Concrete, unfinished",$G$153,IF(H65="Grass",$G$154,IF(H65="Gravel Bottom/riprap sides",$G$155,IF(H65="Weeds",$G$156,""))))))</f>
        <v/>
      </c>
      <c r="I66" s="769"/>
      <c r="J66" s="769"/>
      <c r="K66" s="769"/>
      <c r="L66" s="766" t="s">
        <v>174</v>
      </c>
    </row>
    <row r="67" spans="1:27" ht="24.95" customHeight="1" x14ac:dyDescent="0.2">
      <c r="B67" s="781" t="s">
        <v>109</v>
      </c>
      <c r="C67" s="782"/>
      <c r="D67" s="783">
        <f>IF(ISERROR(D63/D64),0,D63/D64)</f>
        <v>0</v>
      </c>
      <c r="E67" s="783"/>
      <c r="F67" s="783"/>
      <c r="G67" s="783"/>
      <c r="H67" s="783">
        <f>IF(ISERROR(H63/H64),0,H63/H64)</f>
        <v>0</v>
      </c>
      <c r="I67" s="783"/>
      <c r="J67" s="783"/>
      <c r="K67" s="783"/>
      <c r="L67" s="766"/>
    </row>
    <row r="68" spans="1:27" ht="24.95" customHeight="1" x14ac:dyDescent="0.2">
      <c r="B68" s="781" t="s">
        <v>96</v>
      </c>
      <c r="C68" s="782"/>
      <c r="D68" s="783">
        <f>IF(D64&gt;0,(1.49*(D67^(2/3))*(D62^0.5))/D66,0)</f>
        <v>0</v>
      </c>
      <c r="E68" s="783"/>
      <c r="F68" s="783"/>
      <c r="G68" s="783"/>
      <c r="H68" s="783" t="e">
        <f>IF(H64&gt;0,(1.49*(H67^(2/3))*(H62^0.5))/H66,0)</f>
        <v>#VALUE!</v>
      </c>
      <c r="I68" s="783"/>
      <c r="J68" s="783"/>
      <c r="K68" s="783"/>
      <c r="L68" s="766"/>
    </row>
    <row r="69" spans="1:27" ht="24.95" customHeight="1" x14ac:dyDescent="0.2">
      <c r="B69" s="770" t="s">
        <v>89</v>
      </c>
      <c r="C69" s="780"/>
      <c r="D69" s="783">
        <f>IF(D64&gt;0,D61/(3600*D68),0)</f>
        <v>0</v>
      </c>
      <c r="E69" s="783"/>
      <c r="F69" s="783"/>
      <c r="G69" s="783"/>
      <c r="H69" s="783" t="e">
        <f>IF(H64&gt;0,H61/(3600*H68),0)</f>
        <v>#VALUE!</v>
      </c>
      <c r="I69" s="783"/>
      <c r="J69" s="783"/>
      <c r="K69" s="783"/>
      <c r="L69" s="766"/>
    </row>
    <row r="70" spans="1:27" ht="24.95" customHeight="1" thickBot="1" x14ac:dyDescent="0.25">
      <c r="B70" s="819" t="s">
        <v>125</v>
      </c>
      <c r="C70" s="820"/>
      <c r="D70" s="739" t="e">
        <f>D69+D59+D49+D39+D33</f>
        <v>#VALUE!</v>
      </c>
      <c r="E70" s="739"/>
      <c r="F70" s="739"/>
      <c r="G70" s="739"/>
      <c r="H70" s="739" t="e">
        <f>H69+H59+H49+H39+H33</f>
        <v>#VALUE!</v>
      </c>
      <c r="I70" s="739"/>
      <c r="J70" s="739"/>
      <c r="K70" s="739"/>
      <c r="L70" s="332" t="s">
        <v>176</v>
      </c>
    </row>
    <row r="71" spans="1:27" ht="24.95" customHeight="1" thickTop="1" thickBot="1" x14ac:dyDescent="0.3">
      <c r="B71" s="443" t="s">
        <v>134</v>
      </c>
      <c r="C71" s="445"/>
      <c r="D71" s="762" t="s">
        <v>9</v>
      </c>
      <c r="E71" s="762"/>
      <c r="F71" s="762"/>
      <c r="G71" s="762"/>
      <c r="H71" s="762" t="s">
        <v>30</v>
      </c>
      <c r="I71" s="762"/>
      <c r="J71" s="762"/>
      <c r="K71" s="762"/>
      <c r="L71" s="163"/>
    </row>
    <row r="72" spans="1:27" s="169" customFormat="1" ht="24.95" hidden="1" customHeight="1" thickTop="1" x14ac:dyDescent="0.2">
      <c r="A72" s="216"/>
      <c r="B72" s="826" t="s">
        <v>386</v>
      </c>
      <c r="C72" s="827"/>
      <c r="D72" s="816" t="e">
        <f>C122*0.2</f>
        <v>#VALUE!</v>
      </c>
      <c r="E72" s="817"/>
      <c r="F72" s="817"/>
      <c r="G72" s="818"/>
      <c r="H72" s="816" t="e">
        <f>C130*0.2</f>
        <v>#VALUE!</v>
      </c>
      <c r="I72" s="817"/>
      <c r="J72" s="817"/>
      <c r="K72" s="832"/>
      <c r="L72" s="420"/>
      <c r="M72" s="216"/>
      <c r="N72" s="216"/>
      <c r="O72" s="216"/>
      <c r="P72" s="216"/>
      <c r="Q72" s="216"/>
      <c r="R72" s="216"/>
      <c r="S72" s="216"/>
      <c r="T72" s="216"/>
      <c r="U72" s="216"/>
      <c r="V72" s="216"/>
      <c r="W72" s="216"/>
      <c r="X72" s="216"/>
      <c r="Y72" s="216"/>
      <c r="Z72" s="216"/>
      <c r="AA72" s="216"/>
    </row>
    <row r="73" spans="1:27" s="169" customFormat="1" ht="24.95" hidden="1" customHeight="1" x14ac:dyDescent="0.2">
      <c r="A73" s="216"/>
      <c r="B73" s="814" t="s">
        <v>387</v>
      </c>
      <c r="C73" s="815"/>
      <c r="D73" s="812" t="e">
        <f>D72/$D$11</f>
        <v>#VALUE!</v>
      </c>
      <c r="E73" s="812"/>
      <c r="F73" s="812"/>
      <c r="G73" s="812"/>
      <c r="H73" s="812" t="e">
        <f>H72/$D$11</f>
        <v>#VALUE!</v>
      </c>
      <c r="I73" s="812"/>
      <c r="J73" s="812"/>
      <c r="K73" s="813"/>
      <c r="L73" s="421"/>
      <c r="M73" s="216"/>
      <c r="N73" s="216"/>
      <c r="O73" s="216"/>
      <c r="P73" s="216"/>
      <c r="Q73" s="216"/>
      <c r="R73" s="216"/>
      <c r="S73" s="216"/>
      <c r="T73" s="216"/>
      <c r="U73" s="216"/>
      <c r="V73" s="216"/>
      <c r="W73" s="216"/>
      <c r="X73" s="216"/>
      <c r="Y73" s="216"/>
      <c r="Z73" s="216"/>
      <c r="AA73" s="216"/>
    </row>
    <row r="74" spans="1:27" ht="24.95" customHeight="1" thickTop="1" thickBot="1" x14ac:dyDescent="0.25">
      <c r="B74" s="828" t="s">
        <v>132</v>
      </c>
      <c r="C74" s="829"/>
      <c r="D74" s="763" t="e">
        <f>$G$109</f>
        <v>#VALUE!</v>
      </c>
      <c r="E74" s="763"/>
      <c r="F74" s="763"/>
      <c r="G74" s="763"/>
      <c r="H74" s="763" t="e">
        <f>$H$109</f>
        <v>#VALUE!</v>
      </c>
      <c r="I74" s="763"/>
      <c r="J74" s="763"/>
      <c r="K74" s="763"/>
      <c r="L74" s="332" t="s">
        <v>177</v>
      </c>
    </row>
    <row r="75" spans="1:27" s="142" customFormat="1" ht="24.95" customHeight="1" thickTop="1" thickBot="1" x14ac:dyDescent="0.25">
      <c r="A75" s="141"/>
      <c r="B75" s="750" t="s">
        <v>223</v>
      </c>
      <c r="C75" s="751"/>
      <c r="D75" s="436"/>
      <c r="E75" s="436"/>
      <c r="F75" s="436"/>
      <c r="G75" s="436"/>
      <c r="H75" s="436"/>
      <c r="I75" s="436"/>
      <c r="J75" s="436"/>
      <c r="K75" s="437"/>
      <c r="L75" s="422"/>
      <c r="M75" s="141"/>
      <c r="N75" s="141"/>
      <c r="O75" s="141"/>
      <c r="P75" s="141"/>
      <c r="Q75" s="141"/>
      <c r="R75" s="141"/>
      <c r="S75" s="141"/>
      <c r="T75" s="141"/>
      <c r="U75" s="141"/>
      <c r="V75" s="141"/>
      <c r="W75" s="141"/>
      <c r="X75" s="141"/>
      <c r="Y75" s="141"/>
      <c r="Z75" s="141"/>
      <c r="AA75" s="141"/>
    </row>
    <row r="76" spans="1:27" s="144" customFormat="1" ht="24.95" customHeight="1" thickTop="1" x14ac:dyDescent="0.2">
      <c r="A76" s="143"/>
      <c r="B76" s="740" t="s">
        <v>402</v>
      </c>
      <c r="C76" s="741"/>
      <c r="D76" s="742">
        <f>SUM($H$26:$K$26)</f>
        <v>0</v>
      </c>
      <c r="E76" s="743"/>
      <c r="F76" s="743"/>
      <c r="G76" s="743"/>
      <c r="H76" s="743"/>
      <c r="I76" s="743"/>
      <c r="J76" s="743"/>
      <c r="K76" s="744"/>
      <c r="L76" s="332" t="s">
        <v>222</v>
      </c>
      <c r="M76" s="143"/>
      <c r="N76" s="143"/>
      <c r="O76" s="143"/>
      <c r="P76" s="143"/>
      <c r="Q76" s="143"/>
      <c r="R76" s="143"/>
      <c r="S76" s="143"/>
      <c r="T76" s="143"/>
      <c r="U76" s="143"/>
      <c r="V76" s="143"/>
      <c r="W76" s="143"/>
      <c r="X76" s="143"/>
      <c r="Y76" s="143"/>
      <c r="Z76" s="143"/>
      <c r="AA76" s="143"/>
    </row>
    <row r="77" spans="1:27" s="144" customFormat="1" ht="24.95" customHeight="1" thickBot="1" x14ac:dyDescent="0.25">
      <c r="A77" s="143"/>
      <c r="B77" s="745" t="s">
        <v>403</v>
      </c>
      <c r="C77" s="746"/>
      <c r="D77" s="747" t="e">
        <f>IF(D76&gt;0,$C$188,H74)</f>
        <v>#VALUE!</v>
      </c>
      <c r="E77" s="748"/>
      <c r="F77" s="748"/>
      <c r="G77" s="748"/>
      <c r="H77" s="748"/>
      <c r="I77" s="748"/>
      <c r="J77" s="748"/>
      <c r="K77" s="749"/>
      <c r="L77" s="423"/>
      <c r="M77" s="143"/>
      <c r="N77" s="143"/>
      <c r="O77" s="143"/>
      <c r="P77" s="143"/>
      <c r="Q77" s="143"/>
      <c r="R77" s="143"/>
      <c r="S77" s="143"/>
      <c r="T77" s="143"/>
      <c r="U77" s="143"/>
      <c r="V77" s="143"/>
      <c r="W77" s="143"/>
      <c r="X77" s="143"/>
      <c r="Y77" s="143"/>
      <c r="Z77" s="143"/>
      <c r="AA77" s="143"/>
    </row>
    <row r="78" spans="1:27" ht="24.95" customHeight="1" thickTop="1" thickBot="1" x14ac:dyDescent="0.25">
      <c r="B78" s="750" t="s">
        <v>385</v>
      </c>
      <c r="C78" s="751"/>
      <c r="D78" s="436"/>
      <c r="E78" s="436"/>
      <c r="F78" s="436"/>
      <c r="G78" s="436"/>
      <c r="H78" s="436"/>
      <c r="I78" s="436"/>
      <c r="J78" s="436"/>
      <c r="K78" s="437"/>
      <c r="L78" s="163"/>
    </row>
    <row r="79" spans="1:27" s="555" customFormat="1" ht="24.95" hidden="1" customHeight="1" thickTop="1" x14ac:dyDescent="0.2">
      <c r="A79" s="554"/>
      <c r="B79" s="764" t="s">
        <v>552</v>
      </c>
      <c r="C79" s="765"/>
      <c r="D79" s="823">
        <f>IF(ISERROR(C170),"",(C170))</f>
        <v>0</v>
      </c>
      <c r="E79" s="824"/>
      <c r="F79" s="824"/>
      <c r="G79" s="824"/>
      <c r="H79" s="824"/>
      <c r="I79" s="824"/>
      <c r="J79" s="824"/>
      <c r="K79" s="825"/>
      <c r="L79" s="553" t="s">
        <v>389</v>
      </c>
      <c r="M79" s="554"/>
      <c r="N79" s="554"/>
      <c r="O79" s="554"/>
      <c r="P79" s="554"/>
      <c r="Q79" s="554"/>
      <c r="R79" s="554"/>
      <c r="S79" s="554"/>
      <c r="T79" s="554"/>
      <c r="U79" s="554"/>
      <c r="V79" s="554"/>
      <c r="W79" s="554"/>
      <c r="X79" s="554"/>
      <c r="Y79" s="554"/>
      <c r="Z79" s="554"/>
      <c r="AA79" s="554"/>
    </row>
    <row r="80" spans="1:27" ht="41.25" customHeight="1" thickTop="1" thickBot="1" x14ac:dyDescent="0.25">
      <c r="B80" s="757" t="s">
        <v>590</v>
      </c>
      <c r="C80" s="758"/>
      <c r="D80" s="759" t="str">
        <f>IF(ISERROR($K$175),"",($K$175))</f>
        <v/>
      </c>
      <c r="E80" s="760"/>
      <c r="F80" s="760"/>
      <c r="G80" s="760"/>
      <c r="H80" s="760"/>
      <c r="I80" s="760"/>
      <c r="J80" s="760"/>
      <c r="K80" s="761"/>
      <c r="L80" s="550" t="s">
        <v>389</v>
      </c>
    </row>
    <row r="81" spans="1:27" ht="24.95" customHeight="1" thickTop="1" thickBot="1" x14ac:dyDescent="0.25">
      <c r="B81" s="750" t="s">
        <v>384</v>
      </c>
      <c r="C81" s="751"/>
      <c r="D81" s="436"/>
      <c r="E81" s="436"/>
      <c r="F81" s="436"/>
      <c r="G81" s="436"/>
      <c r="H81" s="436"/>
      <c r="I81" s="436"/>
      <c r="J81" s="436"/>
      <c r="K81" s="437"/>
      <c r="L81" s="163"/>
    </row>
    <row r="82" spans="1:27" ht="24.95" customHeight="1" thickTop="1" x14ac:dyDescent="0.2">
      <c r="B82" s="754" t="s">
        <v>390</v>
      </c>
      <c r="C82" s="753"/>
      <c r="D82" s="755" t="e">
        <f>IF(D72&gt;'SITE DATA'!$F$26,0,C123)</f>
        <v>#VALUE!</v>
      </c>
      <c r="E82" s="755"/>
      <c r="F82" s="755"/>
      <c r="G82" s="755"/>
      <c r="H82" s="755" t="e">
        <f>IF(H72&gt;'SITE DATA'!$F$26,0,C131)</f>
        <v>#VALUE!</v>
      </c>
      <c r="I82" s="755"/>
      <c r="J82" s="755"/>
      <c r="K82" s="755"/>
      <c r="L82" s="332" t="s">
        <v>178</v>
      </c>
    </row>
    <row r="83" spans="1:27" ht="24.95" customHeight="1" x14ac:dyDescent="0.2">
      <c r="B83" s="752" t="s">
        <v>349</v>
      </c>
      <c r="C83" s="753"/>
      <c r="D83" s="756" t="e">
        <f>ROUND(IF(ISERROR((D82/12)*(D10*43560)),"",((D82/12)*(D10*43560))),0)</f>
        <v>#VALUE!</v>
      </c>
      <c r="E83" s="756"/>
      <c r="F83" s="756"/>
      <c r="G83" s="756"/>
      <c r="H83" s="756">
        <f>ROUND(IF(ISERROR((H82/12)*(H10*43560)),0,((H82/12)*(H10*43560))),0)</f>
        <v>0</v>
      </c>
      <c r="I83" s="756"/>
      <c r="J83" s="756"/>
      <c r="K83" s="756"/>
      <c r="L83" s="424"/>
    </row>
    <row r="84" spans="1:27" ht="39" customHeight="1" x14ac:dyDescent="0.2">
      <c r="B84" s="757" t="s">
        <v>559</v>
      </c>
      <c r="C84" s="758"/>
      <c r="D84" s="756" t="str">
        <f>IF(ISERROR(H83-D83),"",(H83-D83))</f>
        <v/>
      </c>
      <c r="E84" s="756"/>
      <c r="F84" s="756"/>
      <c r="G84" s="756"/>
      <c r="H84" s="756"/>
      <c r="I84" s="756"/>
      <c r="J84" s="756"/>
      <c r="K84" s="756"/>
      <c r="L84" s="425"/>
    </row>
    <row r="85" spans="1:27" ht="24.95" customHeight="1" thickBot="1" x14ac:dyDescent="0.25">
      <c r="B85" s="752" t="s">
        <v>350</v>
      </c>
      <c r="C85" s="753"/>
      <c r="D85" s="809" t="e">
        <f>H127</f>
        <v>#VALUE!</v>
      </c>
      <c r="E85" s="809"/>
      <c r="F85" s="809"/>
      <c r="G85" s="809"/>
      <c r="H85" s="809" t="e">
        <f>H135</f>
        <v>#VALUE!</v>
      </c>
      <c r="I85" s="809"/>
      <c r="J85" s="809"/>
      <c r="K85" s="809"/>
      <c r="L85" s="426" t="s">
        <v>159</v>
      </c>
    </row>
    <row r="86" spans="1:27" ht="24.95" customHeight="1" thickTop="1" thickBot="1" x14ac:dyDescent="0.25">
      <c r="B86" s="750" t="s">
        <v>374</v>
      </c>
      <c r="C86" s="751"/>
      <c r="D86" s="436"/>
      <c r="E86" s="436"/>
      <c r="F86" s="436"/>
      <c r="G86" s="436"/>
      <c r="H86" s="436"/>
      <c r="I86" s="436"/>
      <c r="J86" s="436"/>
      <c r="K86" s="437"/>
      <c r="L86" s="426"/>
    </row>
    <row r="87" spans="1:27" ht="24.95" customHeight="1" thickTop="1" x14ac:dyDescent="0.2">
      <c r="B87" s="754" t="s">
        <v>391</v>
      </c>
      <c r="C87" s="753"/>
      <c r="D87" s="755" t="e">
        <f>IF($D$72&gt;'SITE DATA'!$F$27,0,C124)</f>
        <v>#VALUE!</v>
      </c>
      <c r="E87" s="755"/>
      <c r="F87" s="755"/>
      <c r="G87" s="755"/>
      <c r="H87" s="755" t="e">
        <f>IF($H$72&gt;'SITE DATA'!$F$27,0,C132)</f>
        <v>#VALUE!</v>
      </c>
      <c r="I87" s="755"/>
      <c r="J87" s="755"/>
      <c r="K87" s="755"/>
      <c r="L87" s="332" t="s">
        <v>178</v>
      </c>
    </row>
    <row r="88" spans="1:27" ht="24.95" customHeight="1" x14ac:dyDescent="0.2">
      <c r="B88" s="752" t="s">
        <v>349</v>
      </c>
      <c r="C88" s="753"/>
      <c r="D88" s="756" t="e">
        <f>(D87/12)*($D$10*43560)</f>
        <v>#VALUE!</v>
      </c>
      <c r="E88" s="756"/>
      <c r="F88" s="756"/>
      <c r="G88" s="756"/>
      <c r="H88" s="756" t="e">
        <f>(H87/12)*(H10*43560)</f>
        <v>#VALUE!</v>
      </c>
      <c r="I88" s="756"/>
      <c r="J88" s="756"/>
      <c r="K88" s="756"/>
      <c r="L88" s="426"/>
    </row>
    <row r="89" spans="1:27" ht="24.95" customHeight="1" thickBot="1" x14ac:dyDescent="0.25">
      <c r="B89" s="752" t="s">
        <v>351</v>
      </c>
      <c r="C89" s="753"/>
      <c r="D89" s="809" t="e">
        <f>H128</f>
        <v>#VALUE!</v>
      </c>
      <c r="E89" s="809"/>
      <c r="F89" s="809"/>
      <c r="G89" s="809"/>
      <c r="H89" s="809" t="e">
        <f>H136</f>
        <v>#VALUE!</v>
      </c>
      <c r="I89" s="809"/>
      <c r="J89" s="809"/>
      <c r="K89" s="809"/>
      <c r="L89" s="426" t="s">
        <v>159</v>
      </c>
    </row>
    <row r="90" spans="1:27" ht="24.95" customHeight="1" thickTop="1" thickBot="1" x14ac:dyDescent="0.25">
      <c r="B90" s="750" t="s">
        <v>376</v>
      </c>
      <c r="C90" s="751"/>
      <c r="D90" s="436"/>
      <c r="E90" s="436"/>
      <c r="F90" s="436"/>
      <c r="G90" s="436"/>
      <c r="H90" s="436"/>
      <c r="I90" s="436"/>
      <c r="J90" s="436"/>
      <c r="K90" s="437"/>
      <c r="L90" s="426"/>
    </row>
    <row r="91" spans="1:27" ht="24.95" customHeight="1" thickTop="1" x14ac:dyDescent="0.2">
      <c r="B91" s="754" t="s">
        <v>392</v>
      </c>
      <c r="C91" s="753"/>
      <c r="D91" s="755" t="e">
        <f>IF($D$72&gt;'SITE DATA'!F28,0,C125)</f>
        <v>#VALUE!</v>
      </c>
      <c r="E91" s="755"/>
      <c r="F91" s="755"/>
      <c r="G91" s="755"/>
      <c r="H91" s="755" t="e">
        <f>IF($H$72&gt;'SITE DATA'!F28,0,C133)</f>
        <v>#VALUE!</v>
      </c>
      <c r="I91" s="755"/>
      <c r="J91" s="755"/>
      <c r="K91" s="755"/>
      <c r="L91" s="332" t="s">
        <v>178</v>
      </c>
    </row>
    <row r="92" spans="1:27" ht="24.95" customHeight="1" x14ac:dyDescent="0.2">
      <c r="B92" s="752" t="s">
        <v>349</v>
      </c>
      <c r="C92" s="753"/>
      <c r="D92" s="756" t="e">
        <f>(D91/12)*($D$10*43560)</f>
        <v>#VALUE!</v>
      </c>
      <c r="E92" s="756"/>
      <c r="F92" s="756"/>
      <c r="G92" s="756"/>
      <c r="H92" s="756" t="e">
        <f>(H91/12)*($D$10*43560)</f>
        <v>#VALUE!</v>
      </c>
      <c r="I92" s="756"/>
      <c r="J92" s="756"/>
      <c r="K92" s="756"/>
      <c r="L92" s="426"/>
    </row>
    <row r="93" spans="1:27" ht="24.95" customHeight="1" thickBot="1" x14ac:dyDescent="0.25">
      <c r="B93" s="810" t="s">
        <v>352</v>
      </c>
      <c r="C93" s="811"/>
      <c r="D93" s="808" t="e">
        <f>H129</f>
        <v>#VALUE!</v>
      </c>
      <c r="E93" s="808"/>
      <c r="F93" s="808"/>
      <c r="G93" s="808"/>
      <c r="H93" s="808" t="e">
        <f>H137</f>
        <v>#VALUE!</v>
      </c>
      <c r="I93" s="808"/>
      <c r="J93" s="808"/>
      <c r="K93" s="808"/>
      <c r="L93" s="426"/>
    </row>
    <row r="94" spans="1:27" s="158" customFormat="1" ht="24.95" hidden="1" customHeight="1" thickTop="1" x14ac:dyDescent="0.2">
      <c r="A94" s="507"/>
      <c r="B94" s="165"/>
      <c r="C94" s="165"/>
      <c r="D94" s="807" t="e">
        <f>IF($H$93&gt;$D$93,"Post-development peak flow exceeds pre-development peak flow for this DA!","")</f>
        <v>#VALUE!</v>
      </c>
      <c r="E94" s="807"/>
      <c r="F94" s="807"/>
      <c r="G94" s="807"/>
      <c r="H94" s="807"/>
      <c r="I94" s="807"/>
      <c r="J94" s="807"/>
      <c r="K94" s="807"/>
    </row>
    <row r="95" spans="1:27" s="158" customFormat="1" ht="15" customHeight="1" thickTop="1" x14ac:dyDescent="0.2">
      <c r="A95" s="507"/>
      <c r="B95" s="155"/>
      <c r="C95" s="165"/>
      <c r="D95" s="167"/>
      <c r="E95" s="167"/>
      <c r="F95" s="167"/>
      <c r="G95" s="167"/>
      <c r="H95" s="167"/>
      <c r="I95" s="167"/>
      <c r="J95" s="167"/>
      <c r="K95" s="167"/>
      <c r="L95" s="168"/>
    </row>
    <row r="96" spans="1:27" s="169" customFormat="1" ht="15.75" hidden="1" customHeight="1" x14ac:dyDescent="0.25">
      <c r="A96" s="216"/>
      <c r="B96" s="806" t="s">
        <v>126</v>
      </c>
      <c r="C96" s="806"/>
      <c r="D96" s="806"/>
      <c r="E96" s="806"/>
      <c r="F96" s="806"/>
      <c r="G96" s="806"/>
      <c r="H96" s="806"/>
      <c r="I96" s="806"/>
      <c r="J96" s="806"/>
      <c r="K96" s="806"/>
      <c r="L96" s="806"/>
      <c r="M96" s="216"/>
      <c r="N96" s="216"/>
      <c r="O96" s="216"/>
      <c r="P96" s="216"/>
      <c r="Q96" s="216"/>
      <c r="R96" s="216"/>
      <c r="S96" s="216"/>
      <c r="T96" s="216"/>
      <c r="U96" s="216"/>
      <c r="V96" s="216"/>
      <c r="W96" s="216"/>
      <c r="X96" s="216"/>
      <c r="Y96" s="216"/>
      <c r="Z96" s="216"/>
      <c r="AA96" s="216"/>
    </row>
    <row r="97" spans="1:14" s="158" customFormat="1" ht="15" hidden="1" customHeight="1" x14ac:dyDescent="0.2">
      <c r="A97" s="507"/>
      <c r="K97" s="167"/>
      <c r="L97" s="168"/>
    </row>
    <row r="98" spans="1:14" ht="18.75" hidden="1" customHeight="1" thickBot="1" x14ac:dyDescent="0.25">
      <c r="B98" s="855" t="s">
        <v>133</v>
      </c>
      <c r="C98" s="856"/>
      <c r="D98" s="856"/>
      <c r="E98" s="856"/>
      <c r="F98" s="856"/>
      <c r="G98" s="856"/>
      <c r="H98" s="856"/>
      <c r="I98" s="856"/>
      <c r="J98" s="170"/>
      <c r="K98" s="158"/>
      <c r="L98" s="158"/>
    </row>
    <row r="99" spans="1:14" ht="60" hidden="1" customHeight="1" x14ac:dyDescent="0.2">
      <c r="B99" s="171" t="s">
        <v>14</v>
      </c>
      <c r="C99" s="172" t="s">
        <v>15</v>
      </c>
      <c r="D99" s="172" t="s">
        <v>16</v>
      </c>
      <c r="E99" s="172" t="s">
        <v>18</v>
      </c>
      <c r="F99" s="172" t="s">
        <v>17</v>
      </c>
      <c r="G99" s="224" t="s">
        <v>289</v>
      </c>
      <c r="H99" s="225" t="s">
        <v>290</v>
      </c>
      <c r="I99" s="250" t="s">
        <v>377</v>
      </c>
      <c r="J99" s="249"/>
      <c r="K99" s="166"/>
      <c r="L99" s="158"/>
    </row>
    <row r="100" spans="1:14" ht="15" hidden="1" customHeight="1" x14ac:dyDescent="0.2">
      <c r="B100" s="173" t="s">
        <v>12</v>
      </c>
      <c r="C100" s="174">
        <v>39</v>
      </c>
      <c r="D100" s="174">
        <v>61</v>
      </c>
      <c r="E100" s="174">
        <v>74</v>
      </c>
      <c r="F100" s="174">
        <v>80</v>
      </c>
      <c r="G100" s="226" t="e">
        <f t="shared" ref="G100:G107" si="0">(C100*D17)+(D100*E17)+(E100*F17)+(F100*G17)</f>
        <v>#VALUE!</v>
      </c>
      <c r="H100" s="227" t="e">
        <f>($C$100*$H$17)+($D$100*$I$17)+($E$100*$J$17)+($F$100*$K$17)</f>
        <v>#VALUE!</v>
      </c>
      <c r="I100" s="251" t="e">
        <f>($C$100*$H$17)+($D$100*$I$17)+($E$100*$J$17)+($F$100*$K$17)</f>
        <v>#VALUE!</v>
      </c>
      <c r="J100" s="166"/>
      <c r="K100" s="166"/>
      <c r="L100" s="158"/>
    </row>
    <row r="101" spans="1:14" ht="18" hidden="1" customHeight="1" x14ac:dyDescent="0.2">
      <c r="B101" s="173" t="s">
        <v>233</v>
      </c>
      <c r="C101" s="174">
        <v>45</v>
      </c>
      <c r="D101" s="174">
        <v>66</v>
      </c>
      <c r="E101" s="174">
        <v>77</v>
      </c>
      <c r="F101" s="174">
        <v>83</v>
      </c>
      <c r="G101" s="226">
        <f t="shared" si="0"/>
        <v>0</v>
      </c>
      <c r="H101" s="227">
        <f>($C$101*$H$18)+($D$101*$I$18)+($E$101*$J$18)+($F$101*$K$18)</f>
        <v>0</v>
      </c>
      <c r="I101" s="251">
        <f>($C$101*$H$18)+($D$101*$I$18)+($E$101*$J$18)+($F$101*$K$18)</f>
        <v>0</v>
      </c>
      <c r="J101" s="166"/>
      <c r="K101" s="166"/>
      <c r="L101" s="158"/>
    </row>
    <row r="102" spans="1:14" ht="18" hidden="1" customHeight="1" x14ac:dyDescent="0.2">
      <c r="B102" s="173" t="s">
        <v>235</v>
      </c>
      <c r="C102" s="174">
        <v>36</v>
      </c>
      <c r="D102" s="174">
        <v>60</v>
      </c>
      <c r="E102" s="174">
        <v>73</v>
      </c>
      <c r="F102" s="174">
        <v>79</v>
      </c>
      <c r="G102" s="226">
        <f t="shared" si="0"/>
        <v>0</v>
      </c>
      <c r="H102" s="227">
        <f>($C$102*$H$19)+($D$102*$I$19)+($E$102*$J$19)+($F$102*$K$19)</f>
        <v>0</v>
      </c>
      <c r="I102" s="251">
        <f>($C$102*$H$19)+($D$102*$I$19)+($E$102*$J$19)+($F$102*$K$19)</f>
        <v>0</v>
      </c>
      <c r="J102" s="166"/>
      <c r="K102" s="166"/>
      <c r="L102" s="158"/>
    </row>
    <row r="103" spans="1:14" ht="18" hidden="1" customHeight="1" x14ac:dyDescent="0.2">
      <c r="B103" s="173" t="s">
        <v>236</v>
      </c>
      <c r="C103" s="174">
        <v>30</v>
      </c>
      <c r="D103" s="174">
        <v>55</v>
      </c>
      <c r="E103" s="174">
        <v>70</v>
      </c>
      <c r="F103" s="174">
        <v>77</v>
      </c>
      <c r="G103" s="226" t="e">
        <f t="shared" si="0"/>
        <v>#VALUE!</v>
      </c>
      <c r="H103" s="227" t="e">
        <f>($C$103*$H$20)+($D$103*$I$20)+($E$103*$J$20)+($F$103*$K$20)</f>
        <v>#VALUE!</v>
      </c>
      <c r="I103" s="251" t="e">
        <f>($C$103*$H$20)+($D$103*$I$20)+($E$103*$J$20)+($F$103*$K$20)</f>
        <v>#VALUE!</v>
      </c>
      <c r="J103" s="166"/>
      <c r="K103" s="166"/>
      <c r="L103" s="158"/>
    </row>
    <row r="104" spans="1:14" ht="18" hidden="1" customHeight="1" x14ac:dyDescent="0.2">
      <c r="B104" s="173" t="s">
        <v>234</v>
      </c>
      <c r="C104" s="174">
        <v>68</v>
      </c>
      <c r="D104" s="174">
        <v>79</v>
      </c>
      <c r="E104" s="174">
        <v>86</v>
      </c>
      <c r="F104" s="174">
        <v>89</v>
      </c>
      <c r="G104" s="226">
        <f t="shared" si="0"/>
        <v>0</v>
      </c>
      <c r="H104" s="227">
        <f>($C$104*$H$21)+($D$104*$I$21)+($E$104*$J$21)+($F$104*$K$21)</f>
        <v>0</v>
      </c>
      <c r="I104" s="251">
        <f>($C$104*$H$21)+($D$104*$I$21)+($E$104*$J$21)+($F$104*$K$21)</f>
        <v>0</v>
      </c>
      <c r="J104" s="166"/>
      <c r="K104" s="166"/>
      <c r="L104" s="158"/>
    </row>
    <row r="105" spans="1:14" ht="18" hidden="1" customHeight="1" x14ac:dyDescent="0.2">
      <c r="B105" s="173" t="s">
        <v>237</v>
      </c>
      <c r="C105" s="174">
        <v>49</v>
      </c>
      <c r="D105" s="174">
        <v>69</v>
      </c>
      <c r="E105" s="174">
        <v>79</v>
      </c>
      <c r="F105" s="174">
        <v>84</v>
      </c>
      <c r="G105" s="226">
        <f t="shared" si="0"/>
        <v>0</v>
      </c>
      <c r="H105" s="227">
        <f>($C$105*$H$22)+($D$105*$I$22)+($E$105*$J$22)+($F$105*$K$22)</f>
        <v>0</v>
      </c>
      <c r="I105" s="251">
        <f>($C$105*$H$22)+($D$105*$I$22)+($E$105*$J$22)+($F$105*$K$22)</f>
        <v>0</v>
      </c>
      <c r="J105" s="166"/>
      <c r="K105" s="166"/>
      <c r="L105" s="158"/>
    </row>
    <row r="106" spans="1:14" ht="18" hidden="1" customHeight="1" x14ac:dyDescent="0.2">
      <c r="B106" s="173" t="s">
        <v>238</v>
      </c>
      <c r="C106" s="174">
        <v>39</v>
      </c>
      <c r="D106" s="174">
        <v>61</v>
      </c>
      <c r="E106" s="174">
        <v>74</v>
      </c>
      <c r="F106" s="174">
        <v>80</v>
      </c>
      <c r="G106" s="226">
        <f t="shared" si="0"/>
        <v>0</v>
      </c>
      <c r="H106" s="227" t="e">
        <f>($C$106*$H$23)+($D$106*$I$23)+($E$106*$J$23)+($F$106*$K$23)</f>
        <v>#VALUE!</v>
      </c>
      <c r="I106" s="251" t="e">
        <f>($C$106*$H$23)+($D$106*$I$23)+($E$106*$J$23)+($F$106*$K$23)</f>
        <v>#VALUE!</v>
      </c>
      <c r="J106" s="166"/>
      <c r="K106" s="166"/>
      <c r="L106" s="158"/>
    </row>
    <row r="107" spans="1:14" ht="15" hidden="1" customHeight="1" x14ac:dyDescent="0.2">
      <c r="B107" s="173" t="s">
        <v>245</v>
      </c>
      <c r="C107" s="174">
        <v>30</v>
      </c>
      <c r="D107" s="174">
        <v>55</v>
      </c>
      <c r="E107" s="174">
        <v>70</v>
      </c>
      <c r="F107" s="174">
        <v>77</v>
      </c>
      <c r="G107" s="226">
        <f t="shared" si="0"/>
        <v>0</v>
      </c>
      <c r="H107" s="227">
        <f>($C$107*$H$24)+($D$107*$I$24)+($E$107*$J$24)+($F$107*$K$24)</f>
        <v>0</v>
      </c>
      <c r="I107" s="251">
        <f>($C$107*$H$24)+($D$107*$I$24)+($E$107*$J$24)+($F$107*$K$24)</f>
        <v>0</v>
      </c>
      <c r="J107" s="166"/>
      <c r="K107" s="166"/>
      <c r="L107" s="158"/>
    </row>
    <row r="108" spans="1:14" ht="18.75" hidden="1" customHeight="1" thickBot="1" x14ac:dyDescent="0.25">
      <c r="B108" s="175" t="s">
        <v>243</v>
      </c>
      <c r="C108" s="176">
        <v>98</v>
      </c>
      <c r="D108" s="176">
        <v>98</v>
      </c>
      <c r="E108" s="177">
        <v>98</v>
      </c>
      <c r="F108" s="177">
        <v>98</v>
      </c>
      <c r="G108" s="228">
        <f>(C108*(D26+D25))+(D108*(E26+E25))+(E108*(F26+F25))+(F108*(G26+G25))</f>
        <v>0</v>
      </c>
      <c r="H108" s="229" t="e">
        <f>($C$108*(H25+H26))+($D$108*(I25+I26))+($E$108*(J25+J26))+($F$108*(K25+K26))</f>
        <v>#VALUE!</v>
      </c>
      <c r="I108" s="252" t="e">
        <f>($C$108*H26)+($D$108*I26)+($E$108*J26)+($F$108*K26)</f>
        <v>#VALUE!</v>
      </c>
      <c r="J108" s="166" t="s">
        <v>370</v>
      </c>
      <c r="K108" s="166"/>
      <c r="L108" s="158"/>
    </row>
    <row r="109" spans="1:14" ht="15.75" hidden="1" customHeight="1" thickBot="1" x14ac:dyDescent="0.25">
      <c r="B109" s="178"/>
      <c r="C109" s="146"/>
      <c r="D109" s="146"/>
      <c r="E109" s="869" t="s">
        <v>265</v>
      </c>
      <c r="F109" s="870"/>
      <c r="G109" s="414" t="e">
        <f>ROUND((SUM(G100:G108)/SUM(D17:G26)),2)</f>
        <v>#VALUE!</v>
      </c>
      <c r="H109" s="414" t="e">
        <f>ROUND((SUM(H100:H108)/SUM(H17:K26)),2)</f>
        <v>#VALUE!</v>
      </c>
      <c r="I109" s="415" t="e">
        <f>ROUND(SUM(I100:I108)/(SUM(H17:K26)-SUM(H25:K25)),2)</f>
        <v>#VALUE!</v>
      </c>
      <c r="J109" s="166"/>
      <c r="K109" s="166"/>
      <c r="L109" s="158"/>
    </row>
    <row r="110" spans="1:14" ht="15" hidden="1" customHeight="1" x14ac:dyDescent="0.2">
      <c r="B110" s="179"/>
      <c r="C110" s="156"/>
      <c r="D110" s="156"/>
      <c r="E110" s="159"/>
      <c r="F110" s="159"/>
      <c r="G110" s="159"/>
      <c r="H110" s="156"/>
      <c r="I110" s="156"/>
      <c r="J110" s="158"/>
      <c r="K110" s="167"/>
      <c r="L110" s="168"/>
    </row>
    <row r="111" spans="1:14" ht="15.75" hidden="1" customHeight="1" thickBot="1" x14ac:dyDescent="0.25">
      <c r="B111" s="158"/>
      <c r="C111" s="158"/>
      <c r="D111" s="156"/>
      <c r="E111" s="158"/>
      <c r="F111" s="158"/>
      <c r="G111" s="158"/>
      <c r="H111" s="158"/>
      <c r="I111" s="158"/>
      <c r="J111" s="158"/>
      <c r="K111" s="158"/>
    </row>
    <row r="112" spans="1:14" ht="18.75" hidden="1" customHeight="1" thickBot="1" x14ac:dyDescent="0.3">
      <c r="B112" s="836" t="s">
        <v>383</v>
      </c>
      <c r="C112" s="837"/>
      <c r="D112" s="156"/>
      <c r="E112" s="849" t="s">
        <v>55</v>
      </c>
      <c r="F112" s="850"/>
      <c r="G112" s="850"/>
      <c r="H112" s="850"/>
      <c r="I112" s="850"/>
      <c r="J112" s="850"/>
      <c r="K112" s="850"/>
      <c r="L112" s="850"/>
      <c r="M112" s="850"/>
      <c r="N112" s="851"/>
    </row>
    <row r="113" spans="2:14" ht="15" hidden="1" customHeight="1" x14ac:dyDescent="0.2">
      <c r="B113" s="838"/>
      <c r="C113" s="839"/>
      <c r="D113" s="156"/>
      <c r="E113" s="865" t="s">
        <v>32</v>
      </c>
      <c r="F113" s="866"/>
      <c r="G113" s="866"/>
      <c r="H113" s="866"/>
      <c r="I113" s="866"/>
      <c r="J113" s="866"/>
      <c r="K113" s="866"/>
      <c r="L113" s="866"/>
      <c r="M113" s="866"/>
      <c r="N113" s="867"/>
    </row>
    <row r="114" spans="2:14" ht="18" hidden="1" customHeight="1" x14ac:dyDescent="0.2">
      <c r="B114" s="64"/>
      <c r="C114" s="113"/>
      <c r="D114" s="156"/>
      <c r="E114" s="265"/>
      <c r="F114" s="159"/>
      <c r="G114" s="266"/>
      <c r="H114" s="266"/>
      <c r="I114" s="266"/>
      <c r="J114" s="266"/>
      <c r="K114" s="180"/>
      <c r="L114" s="181"/>
      <c r="M114" s="156"/>
      <c r="N114" s="221"/>
    </row>
    <row r="115" spans="2:14" ht="20.25" hidden="1" customHeight="1" x14ac:dyDescent="0.35">
      <c r="B115" s="863" t="s">
        <v>40</v>
      </c>
      <c r="C115" s="864"/>
      <c r="D115" s="156"/>
      <c r="E115" s="265"/>
      <c r="F115" s="266"/>
      <c r="G115" s="267" t="s">
        <v>149</v>
      </c>
      <c r="H115" s="267"/>
      <c r="I115" s="268"/>
      <c r="J115" s="156" t="s">
        <v>138</v>
      </c>
      <c r="K115" s="180"/>
      <c r="L115" s="181"/>
      <c r="M115" s="156"/>
      <c r="N115" s="221"/>
    </row>
    <row r="116" spans="2:14" ht="60" hidden="1" customHeight="1" x14ac:dyDescent="0.2">
      <c r="B116" s="863" t="s">
        <v>22</v>
      </c>
      <c r="C116" s="864"/>
      <c r="D116" s="182" t="s">
        <v>304</v>
      </c>
      <c r="E116" s="265"/>
      <c r="F116" s="266"/>
      <c r="G116" s="267" t="s">
        <v>33</v>
      </c>
      <c r="H116" s="267"/>
      <c r="I116" s="267"/>
      <c r="J116" s="180"/>
      <c r="K116" s="267" t="s">
        <v>33</v>
      </c>
      <c r="L116" s="181"/>
      <c r="M116" s="156"/>
      <c r="N116" s="221"/>
    </row>
    <row r="117" spans="2:14" ht="19.5" hidden="1" customHeight="1" x14ac:dyDescent="0.35">
      <c r="B117" s="183" t="s">
        <v>45</v>
      </c>
      <c r="C117" s="184"/>
      <c r="D117" s="156"/>
      <c r="E117" s="265"/>
      <c r="F117" s="266"/>
      <c r="G117" s="267" t="s">
        <v>128</v>
      </c>
      <c r="H117" s="267"/>
      <c r="I117" s="267"/>
      <c r="J117" s="266"/>
      <c r="K117" s="156" t="s">
        <v>139</v>
      </c>
      <c r="L117" s="181"/>
      <c r="M117" s="156"/>
      <c r="N117" s="221"/>
    </row>
    <row r="118" spans="2:14" ht="19.5" hidden="1" customHeight="1" x14ac:dyDescent="0.35">
      <c r="B118" s="183" t="s">
        <v>41</v>
      </c>
      <c r="C118" s="114"/>
      <c r="D118" s="156"/>
      <c r="E118" s="265"/>
      <c r="F118" s="181"/>
      <c r="G118" s="267" t="s">
        <v>158</v>
      </c>
      <c r="H118" s="268"/>
      <c r="I118" s="268"/>
      <c r="J118" s="268"/>
      <c r="K118" s="156" t="s">
        <v>140</v>
      </c>
      <c r="L118" s="181"/>
      <c r="M118" s="156"/>
      <c r="N118" s="221"/>
    </row>
    <row r="119" spans="2:14" ht="20.25" hidden="1" customHeight="1" x14ac:dyDescent="0.35">
      <c r="B119" s="185"/>
      <c r="C119" s="184"/>
      <c r="D119" s="156"/>
      <c r="E119" s="265"/>
      <c r="F119" s="266"/>
      <c r="G119" s="267" t="s">
        <v>130</v>
      </c>
      <c r="H119" s="267"/>
      <c r="I119" s="267"/>
      <c r="J119" s="266"/>
      <c r="K119" s="180"/>
      <c r="L119" s="269"/>
      <c r="M119" s="156"/>
      <c r="N119" s="221"/>
    </row>
    <row r="120" spans="2:14" ht="15" hidden="1" customHeight="1" x14ac:dyDescent="0.2">
      <c r="B120" s="186" t="s">
        <v>48</v>
      </c>
      <c r="C120" s="184"/>
      <c r="D120" s="156"/>
      <c r="E120" s="265"/>
      <c r="F120" s="266"/>
      <c r="G120" s="267" t="s">
        <v>34</v>
      </c>
      <c r="H120" s="267"/>
      <c r="I120" s="267"/>
      <c r="J120" s="266"/>
      <c r="K120" s="180"/>
      <c r="L120" s="269"/>
      <c r="M120" s="156"/>
      <c r="N120" s="221"/>
    </row>
    <row r="121" spans="2:14" ht="19.5" hidden="1" customHeight="1" x14ac:dyDescent="0.35">
      <c r="B121" s="51" t="s">
        <v>20</v>
      </c>
      <c r="C121" s="187" t="s">
        <v>42</v>
      </c>
      <c r="D121" s="156"/>
      <c r="E121" s="265"/>
      <c r="F121" s="159"/>
      <c r="G121" s="267" t="s">
        <v>150</v>
      </c>
      <c r="H121" s="156"/>
      <c r="I121" s="156"/>
      <c r="J121" s="270"/>
      <c r="K121" s="156"/>
      <c r="L121" s="271"/>
      <c r="M121" s="156"/>
      <c r="N121" s="221"/>
    </row>
    <row r="122" spans="2:14" ht="15.75" hidden="1" customHeight="1" x14ac:dyDescent="0.2">
      <c r="B122" s="51" t="s">
        <v>20</v>
      </c>
      <c r="C122" s="115" t="e">
        <f>(1000/$G$109)-10</f>
        <v>#VALUE!</v>
      </c>
      <c r="D122" s="156"/>
      <c r="E122" s="860" t="s">
        <v>35</v>
      </c>
      <c r="F122" s="861"/>
      <c r="G122" s="861"/>
      <c r="H122" s="861"/>
      <c r="I122" s="861"/>
      <c r="J122" s="861"/>
      <c r="K122" s="861"/>
      <c r="L122" s="861"/>
      <c r="M122" s="861"/>
      <c r="N122" s="862"/>
    </row>
    <row r="123" spans="2:14" ht="19.5" hidden="1" customHeight="1" x14ac:dyDescent="0.25">
      <c r="B123" s="188" t="s">
        <v>330</v>
      </c>
      <c r="C123" s="76" t="e">
        <f>(($D$11-(0.2*$C$122))^2)/($D$11+(0.8*$C$122))</f>
        <v>#VALUE!</v>
      </c>
      <c r="D123" s="156"/>
      <c r="E123" s="265"/>
      <c r="F123" s="272"/>
      <c r="G123" s="269" t="s">
        <v>61</v>
      </c>
      <c r="H123" s="273" t="e">
        <f>N125</f>
        <v>#VALUE!</v>
      </c>
      <c r="I123" s="269" t="s">
        <v>36</v>
      </c>
      <c r="J123" s="156"/>
      <c r="K123" s="189" t="s">
        <v>141</v>
      </c>
      <c r="L123" s="190" t="e">
        <f>IF(D73&gt;0.475,$J$147,IF(D73&gt;0.425,$J$146,IF(D73&gt;0.375,$J$145,IF(D73&gt;0.325,$J$144,IF(D73&gt;0.2,$J$143,$J$142)))))</f>
        <v>#VALUE!</v>
      </c>
      <c r="M123" s="191"/>
      <c r="N123" s="232"/>
    </row>
    <row r="124" spans="2:14" ht="19.5" hidden="1" customHeight="1" x14ac:dyDescent="0.35">
      <c r="B124" s="188" t="s">
        <v>331</v>
      </c>
      <c r="C124" s="76" t="e">
        <f>(($D$12-(0.2*$C$122))^2)/($D$12+(0.8*$C$122))</f>
        <v>#VALUE!</v>
      </c>
      <c r="D124" s="156"/>
      <c r="E124" s="274"/>
      <c r="F124" s="272"/>
      <c r="G124" s="269" t="s">
        <v>62</v>
      </c>
      <c r="H124" s="275" t="e">
        <f>(D9/640)</f>
        <v>#VALUE!</v>
      </c>
      <c r="I124" s="269" t="s">
        <v>63</v>
      </c>
      <c r="J124" s="156"/>
      <c r="K124" s="189" t="s">
        <v>142</v>
      </c>
      <c r="L124" s="192" t="e">
        <f>IF(L123=J142,K142,IF(L123=J143,K143,IF(L123=J144,K144,IF(L123=J145,K145,IF(L123=J146,K146,IF(L123=J147,K147,""))))))</f>
        <v>#VALUE!</v>
      </c>
      <c r="M124" s="165" t="s">
        <v>145</v>
      </c>
      <c r="N124" s="221" t="e">
        <f>L124+(L125*LOG(N126))+(L126*((LOG(N126))^2))</f>
        <v>#VALUE!</v>
      </c>
    </row>
    <row r="125" spans="2:14" ht="19.5" hidden="1" customHeight="1" x14ac:dyDescent="0.35">
      <c r="B125" s="188" t="s">
        <v>332</v>
      </c>
      <c r="C125" s="76" t="e">
        <f>(($D$13-(0.2*$C$122))^2)/($D$13+(0.8*$C$122))</f>
        <v>#VALUE!</v>
      </c>
      <c r="D125" s="156"/>
      <c r="E125" s="276" t="s">
        <v>151</v>
      </c>
      <c r="F125" s="277" t="e">
        <f>($D$15/$D$9)*100</f>
        <v>#VALUE!</v>
      </c>
      <c r="G125" s="278" t="s">
        <v>169</v>
      </c>
      <c r="H125" s="273" t="e">
        <f>IF($F$125&gt;4.44,$N$157,IF($F$125&gt;2.44,$N$156,IF($F$125&gt;0.45,$N$155,IF($F$125&gt;0.144,$N$154,1))))</f>
        <v>#VALUE!</v>
      </c>
      <c r="I125" s="269"/>
      <c r="J125" s="156"/>
      <c r="K125" s="189" t="s">
        <v>143</v>
      </c>
      <c r="L125" s="192" t="e">
        <f>IF($L$123=J142,L142,IF($L$123=J143,L143,IF($L$123=J144,L144,IF($L$123=J145,L145,IF($L$123=J146,L146,IF($L$123=J147,L147,""))))))</f>
        <v>#VALUE!</v>
      </c>
      <c r="M125" s="165" t="s">
        <v>146</v>
      </c>
      <c r="N125" s="221" t="e">
        <f>10^N124</f>
        <v>#VALUE!</v>
      </c>
    </row>
    <row r="126" spans="2:14" ht="19.5" hidden="1" customHeight="1" x14ac:dyDescent="0.35">
      <c r="B126" s="186" t="s">
        <v>49</v>
      </c>
      <c r="C126" s="184"/>
      <c r="D126" s="156"/>
      <c r="E126" s="233"/>
      <c r="F126" s="234"/>
      <c r="G126" s="234"/>
      <c r="H126" s="234"/>
      <c r="I126" s="234"/>
      <c r="J126" s="156"/>
      <c r="K126" s="189" t="s">
        <v>144</v>
      </c>
      <c r="L126" s="192" t="e">
        <f>IF($L$123=J142,M142,IF($L$123=J143,M143,IF($L$123=J144,M144,IF($L$123=J145,M145,IF($L$123=J146,M146,IF($L$123=J147,M147,""))))))</f>
        <v>#VALUE!</v>
      </c>
      <c r="M126" s="165" t="s">
        <v>72</v>
      </c>
      <c r="N126" s="235" t="e">
        <f>D70</f>
        <v>#VALUE!</v>
      </c>
    </row>
    <row r="127" spans="2:14" ht="18.75" hidden="1" customHeight="1" x14ac:dyDescent="0.2">
      <c r="B127" s="186"/>
      <c r="C127" s="184"/>
      <c r="D127" s="156"/>
      <c r="E127" s="276"/>
      <c r="F127" s="277"/>
      <c r="G127" s="279" t="s">
        <v>37</v>
      </c>
      <c r="H127" s="280" t="e">
        <f>$H$124*C123*$H$125*$H$123</f>
        <v>#VALUE!</v>
      </c>
      <c r="I127" s="279" t="s">
        <v>38</v>
      </c>
      <c r="J127" s="156"/>
      <c r="K127" s="189"/>
      <c r="L127" s="192"/>
      <c r="M127" s="165"/>
      <c r="N127" s="235"/>
    </row>
    <row r="128" spans="2:14" ht="18.75" hidden="1" customHeight="1" x14ac:dyDescent="0.2">
      <c r="B128" s="186"/>
      <c r="C128" s="184"/>
      <c r="D128" s="156"/>
      <c r="E128" s="276"/>
      <c r="F128" s="277"/>
      <c r="G128" s="279" t="s">
        <v>327</v>
      </c>
      <c r="H128" s="280" t="e">
        <f>$H$124*C124*$H$125*$H$123</f>
        <v>#VALUE!</v>
      </c>
      <c r="I128" s="279" t="s">
        <v>38</v>
      </c>
      <c r="J128" s="156"/>
      <c r="K128" s="189"/>
      <c r="L128" s="192"/>
      <c r="M128" s="165"/>
      <c r="N128" s="235"/>
    </row>
    <row r="129" spans="2:14" ht="18.75" hidden="1" customHeight="1" x14ac:dyDescent="0.2">
      <c r="B129" s="51" t="s">
        <v>20</v>
      </c>
      <c r="C129" s="187" t="s">
        <v>42</v>
      </c>
      <c r="D129" s="156"/>
      <c r="E129" s="265"/>
      <c r="F129" s="281"/>
      <c r="G129" s="279" t="s">
        <v>328</v>
      </c>
      <c r="H129" s="280" t="e">
        <f>$H$124*C125*$H$125*$H$123</f>
        <v>#VALUE!</v>
      </c>
      <c r="I129" s="279" t="s">
        <v>38</v>
      </c>
      <c r="J129" s="156"/>
      <c r="K129" s="156"/>
      <c r="L129" s="159"/>
      <c r="M129" s="156"/>
      <c r="N129" s="202"/>
    </row>
    <row r="130" spans="2:14" ht="15.75" hidden="1" customHeight="1" x14ac:dyDescent="0.25">
      <c r="B130" s="51" t="s">
        <v>20</v>
      </c>
      <c r="C130" s="115" t="e">
        <f>(1000/D77)-10</f>
        <v>#VALUE!</v>
      </c>
      <c r="D130" s="156"/>
      <c r="E130" s="857" t="s">
        <v>47</v>
      </c>
      <c r="F130" s="858"/>
      <c r="G130" s="858"/>
      <c r="H130" s="858"/>
      <c r="I130" s="858"/>
      <c r="J130" s="858"/>
      <c r="K130" s="858"/>
      <c r="L130" s="858"/>
      <c r="M130" s="858"/>
      <c r="N130" s="859"/>
    </row>
    <row r="131" spans="2:14" ht="19.5" hidden="1" customHeight="1" x14ac:dyDescent="0.25">
      <c r="B131" s="188" t="s">
        <v>330</v>
      </c>
      <c r="C131" s="76" t="e">
        <f>($D$11-(0.2*$C$130))^2/($D$11+(0.8*$C$130))</f>
        <v>#VALUE!</v>
      </c>
      <c r="D131" s="156"/>
      <c r="E131" s="282"/>
      <c r="F131" s="272"/>
      <c r="G131" s="269" t="s">
        <v>61</v>
      </c>
      <c r="H131" s="273" t="e">
        <f>N133</f>
        <v>#VALUE!</v>
      </c>
      <c r="I131" s="269" t="s">
        <v>36</v>
      </c>
      <c r="J131" s="156"/>
      <c r="K131" s="189" t="s">
        <v>141</v>
      </c>
      <c r="L131" s="190" t="e">
        <f>IF(H73&gt;0.475,$J$147,IF(H73&gt;0.425,$J$146,IF(H73&gt;0.375,$J$145,IF(H73&gt;0.325,$J$144,IF(H73&gt;0.2,$J$143,$J$142)))))</f>
        <v>#VALUE!</v>
      </c>
      <c r="M131" s="156"/>
      <c r="N131" s="202"/>
    </row>
    <row r="132" spans="2:14" ht="19.5" hidden="1" customHeight="1" x14ac:dyDescent="0.35">
      <c r="B132" s="188" t="s">
        <v>331</v>
      </c>
      <c r="C132" s="76" t="e">
        <f>($D$12-(0.2*$C$130))^2/($D$12+(0.8*$C$130))</f>
        <v>#VALUE!</v>
      </c>
      <c r="D132" s="156"/>
      <c r="E132" s="265"/>
      <c r="F132" s="283"/>
      <c r="G132" s="269" t="s">
        <v>62</v>
      </c>
      <c r="H132" s="275" t="e">
        <f>(H9/640)</f>
        <v>#VALUE!</v>
      </c>
      <c r="I132" s="269" t="s">
        <v>63</v>
      </c>
      <c r="J132" s="156"/>
      <c r="K132" s="189" t="s">
        <v>142</v>
      </c>
      <c r="L132" s="192" t="e">
        <f>IF($L$131=J142,K142,IF($L$131=J143,K143,IF($L$131=J144,K144,IF($L$131=J145,K145,IF($L$131=J146,K146,IF($L$131=J147,K147,""))))))</f>
        <v>#VALUE!</v>
      </c>
      <c r="M132" s="165" t="s">
        <v>145</v>
      </c>
      <c r="N132" s="202" t="e">
        <f>L132+(L133*LOG(N134))+(L134*((LOG(N134))^2))</f>
        <v>#VALUE!</v>
      </c>
    </row>
    <row r="133" spans="2:14" ht="20.25" hidden="1" customHeight="1" thickBot="1" x14ac:dyDescent="0.4">
      <c r="B133" s="193" t="s">
        <v>332</v>
      </c>
      <c r="C133" s="138" t="e">
        <f>($D$13-(0.2*$C$130))^2/($D$13+(0.8*$C$130))</f>
        <v>#VALUE!</v>
      </c>
      <c r="D133" s="156"/>
      <c r="E133" s="276" t="s">
        <v>151</v>
      </c>
      <c r="F133" s="277" t="e">
        <f>($H$15/$H$9)*100</f>
        <v>#VALUE!</v>
      </c>
      <c r="G133" s="278" t="s">
        <v>169</v>
      </c>
      <c r="H133" s="273" t="e">
        <f>IF(F133&gt;4.44,$N$157,IF(F133&gt;2.44,$N$156,IF(F133&gt;0.45,$N$155,IF(F133&gt;0.144,$N$154,1))))</f>
        <v>#VALUE!</v>
      </c>
      <c r="I133" s="279" t="s">
        <v>38</v>
      </c>
      <c r="J133" s="156"/>
      <c r="K133" s="189" t="s">
        <v>143</v>
      </c>
      <c r="L133" s="192" t="e">
        <f>IF($L$131=J142,L142,IF($L$131=J143,L143,IF($L$131=J144,L144,IF($L$131=J145,L145,IF($L$131=J146,L146,IF($L$131=J147,L147,""))))))</f>
        <v>#VALUE!</v>
      </c>
      <c r="M133" s="165" t="s">
        <v>146</v>
      </c>
      <c r="N133" s="202" t="e">
        <f>10^N132</f>
        <v>#VALUE!</v>
      </c>
    </row>
    <row r="134" spans="2:14" ht="19.5" hidden="1" customHeight="1" x14ac:dyDescent="0.35">
      <c r="B134" s="74"/>
      <c r="C134" s="93"/>
      <c r="D134" s="194"/>
      <c r="E134" s="276"/>
      <c r="F134" s="277"/>
      <c r="G134" s="278"/>
      <c r="H134" s="273"/>
      <c r="I134" s="279"/>
      <c r="J134" s="156"/>
      <c r="K134" s="189" t="s">
        <v>144</v>
      </c>
      <c r="L134" s="192" t="e">
        <f>IF($L$131=J142,M142,IF($L$131=J143,M143,IF($L$131=J144,M144,IF($L$131=J145,M145,IF($L$131=J146,M146,IF($L$131=J147,M147,""))))))</f>
        <v>#VALUE!</v>
      </c>
      <c r="M134" s="165" t="s">
        <v>72</v>
      </c>
      <c r="N134" s="235" t="e">
        <f>H70</f>
        <v>#VALUE!</v>
      </c>
    </row>
    <row r="135" spans="2:14" ht="18.75" hidden="1" customHeight="1" x14ac:dyDescent="0.25">
      <c r="B135" s="74"/>
      <c r="C135" s="93"/>
      <c r="D135" s="194"/>
      <c r="E135" s="276"/>
      <c r="F135" s="277"/>
      <c r="G135" s="279" t="s">
        <v>37</v>
      </c>
      <c r="H135" s="280" t="e">
        <f>$H$132*$C$131*$H$133*$H$131</f>
        <v>#VALUE!</v>
      </c>
      <c r="I135" s="279" t="s">
        <v>38</v>
      </c>
      <c r="J135" s="156"/>
      <c r="K135" s="189"/>
      <c r="L135" s="192"/>
      <c r="M135" s="165"/>
      <c r="N135" s="235"/>
    </row>
    <row r="136" spans="2:14" ht="18.75" hidden="1" customHeight="1" x14ac:dyDescent="0.25">
      <c r="B136" s="74"/>
      <c r="C136" s="93"/>
      <c r="D136" s="194"/>
      <c r="E136" s="276"/>
      <c r="F136" s="277"/>
      <c r="G136" s="279" t="s">
        <v>327</v>
      </c>
      <c r="H136" s="280" t="e">
        <f>$H$132*$C$132*$H$133*$H$131</f>
        <v>#VALUE!</v>
      </c>
      <c r="I136" s="279" t="s">
        <v>38</v>
      </c>
      <c r="J136" s="156"/>
      <c r="K136" s="189"/>
      <c r="L136" s="192"/>
      <c r="M136" s="165"/>
      <c r="N136" s="235"/>
    </row>
    <row r="137" spans="2:14" ht="19.5" hidden="1" customHeight="1" thickBot="1" x14ac:dyDescent="0.25">
      <c r="B137" s="195"/>
      <c r="C137" s="75"/>
      <c r="D137" s="156"/>
      <c r="E137" s="211"/>
      <c r="F137" s="212"/>
      <c r="G137" s="285" t="s">
        <v>328</v>
      </c>
      <c r="H137" s="284" t="e">
        <f>$H$132*$C$133*$H$133*$H$131</f>
        <v>#VALUE!</v>
      </c>
      <c r="I137" s="285" t="s">
        <v>38</v>
      </c>
      <c r="J137" s="212"/>
      <c r="K137" s="212"/>
      <c r="L137" s="236"/>
      <c r="M137" s="212"/>
      <c r="N137" s="222"/>
    </row>
    <row r="138" spans="2:14" ht="15.75" hidden="1" customHeight="1" thickBot="1" x14ac:dyDescent="0.25">
      <c r="B138" s="158"/>
      <c r="C138" s="158"/>
      <c r="D138" s="158"/>
      <c r="E138" s="160"/>
      <c r="F138" s="160"/>
      <c r="G138" s="160"/>
      <c r="H138" s="158"/>
      <c r="I138" s="198"/>
      <c r="J138" s="156"/>
      <c r="K138" s="156"/>
      <c r="L138" s="159"/>
      <c r="M138" s="156"/>
      <c r="N138" s="465"/>
    </row>
    <row r="139" spans="2:14" ht="15.75" hidden="1" customHeight="1" thickBot="1" x14ac:dyDescent="0.25">
      <c r="B139" s="158"/>
      <c r="C139" s="158"/>
      <c r="D139" s="158"/>
      <c r="E139" s="160"/>
      <c r="F139" s="160"/>
      <c r="G139" s="160"/>
      <c r="H139" s="158"/>
      <c r="I139" s="198"/>
      <c r="J139" s="871" t="s">
        <v>152</v>
      </c>
      <c r="K139" s="872"/>
      <c r="L139" s="872"/>
      <c r="M139" s="873"/>
      <c r="N139" s="466"/>
    </row>
    <row r="140" spans="2:14" ht="15.75" hidden="1" customHeight="1" thickBot="1" x14ac:dyDescent="0.25">
      <c r="B140" s="840" t="s">
        <v>84</v>
      </c>
      <c r="C140" s="841"/>
      <c r="D140" s="841"/>
      <c r="E140" s="841"/>
      <c r="F140" s="841"/>
      <c r="G140" s="842"/>
      <c r="H140" s="158"/>
      <c r="I140" s="198"/>
      <c r="J140" s="874"/>
      <c r="K140" s="875"/>
      <c r="L140" s="875"/>
      <c r="M140" s="876"/>
      <c r="N140" s="467"/>
    </row>
    <row r="141" spans="2:14" ht="15.75" hidden="1" customHeight="1" thickBot="1" x14ac:dyDescent="0.25">
      <c r="B141" s="846"/>
      <c r="C141" s="847"/>
      <c r="D141" s="847"/>
      <c r="E141" s="847"/>
      <c r="F141" s="847"/>
      <c r="G141" s="848"/>
      <c r="H141" s="158"/>
      <c r="I141" s="198"/>
      <c r="J141" s="91" t="s">
        <v>135</v>
      </c>
      <c r="K141" s="92" t="s">
        <v>136</v>
      </c>
      <c r="L141" s="92" t="s">
        <v>137</v>
      </c>
      <c r="M141" s="468" t="s">
        <v>525</v>
      </c>
      <c r="N141" s="469"/>
    </row>
    <row r="142" spans="2:14" ht="15.75" hidden="1" customHeight="1" x14ac:dyDescent="0.2">
      <c r="B142" s="199" t="s">
        <v>81</v>
      </c>
      <c r="C142" s="200"/>
      <c r="D142" s="200"/>
      <c r="E142" s="200"/>
      <c r="F142" s="200"/>
      <c r="G142" s="201" t="s">
        <v>82</v>
      </c>
      <c r="H142" s="158"/>
      <c r="I142" s="198"/>
      <c r="J142" s="88">
        <v>0.1</v>
      </c>
      <c r="K142" s="87">
        <v>2.5532300000000001</v>
      </c>
      <c r="L142" s="87">
        <v>-0.61512</v>
      </c>
      <c r="M142" s="470">
        <v>-0.16403000000000001</v>
      </c>
      <c r="N142" s="469"/>
    </row>
    <row r="143" spans="2:14" ht="15" hidden="1" customHeight="1" x14ac:dyDescent="0.2">
      <c r="B143" s="178" t="s">
        <v>91</v>
      </c>
      <c r="C143" s="146"/>
      <c r="D143" s="146"/>
      <c r="E143" s="146"/>
      <c r="F143" s="146"/>
      <c r="G143" s="202">
        <v>1.0999999999999999E-2</v>
      </c>
      <c r="H143" s="158"/>
      <c r="I143" s="198"/>
      <c r="J143" s="88">
        <v>0.3</v>
      </c>
      <c r="K143" s="87">
        <v>2.4653200000000002</v>
      </c>
      <c r="L143" s="87">
        <v>-0.62256999999999996</v>
      </c>
      <c r="M143" s="470">
        <v>-0.11656999999999999</v>
      </c>
      <c r="N143" s="469"/>
    </row>
    <row r="144" spans="2:14" ht="15" hidden="1" customHeight="1" x14ac:dyDescent="0.2">
      <c r="B144" s="178" t="s">
        <v>83</v>
      </c>
      <c r="C144" s="146"/>
      <c r="D144" s="146"/>
      <c r="E144" s="146"/>
      <c r="F144" s="146"/>
      <c r="G144" s="202">
        <v>0.24</v>
      </c>
      <c r="H144" s="158"/>
      <c r="I144" s="198"/>
      <c r="J144" s="88">
        <v>0.35</v>
      </c>
      <c r="K144" s="87">
        <v>2.4189600000000002</v>
      </c>
      <c r="L144" s="87">
        <v>-0.61594000000000004</v>
      </c>
      <c r="M144" s="470">
        <v>-8.8200000000000001E-2</v>
      </c>
      <c r="N144" s="469"/>
    </row>
    <row r="145" spans="2:14" ht="15.75" hidden="1" customHeight="1" thickBot="1" x14ac:dyDescent="0.25">
      <c r="B145" s="203" t="s">
        <v>13</v>
      </c>
      <c r="C145" s="204"/>
      <c r="D145" s="204"/>
      <c r="E145" s="204"/>
      <c r="F145" s="204"/>
      <c r="G145" s="205">
        <v>0.4</v>
      </c>
      <c r="H145" s="158"/>
      <c r="I145" s="198"/>
      <c r="J145" s="88">
        <v>0.4</v>
      </c>
      <c r="K145" s="87">
        <v>2.36409</v>
      </c>
      <c r="L145" s="87">
        <v>-0.59857000000000005</v>
      </c>
      <c r="M145" s="470">
        <v>-5.6210000000000003E-2</v>
      </c>
      <c r="N145" s="471"/>
    </row>
    <row r="146" spans="2:14" ht="15.75" hidden="1" customHeight="1" thickBot="1" x14ac:dyDescent="0.25">
      <c r="B146" s="158"/>
      <c r="C146" s="158"/>
      <c r="D146" s="158"/>
      <c r="E146" s="160"/>
      <c r="F146" s="160"/>
      <c r="G146" s="160"/>
      <c r="H146" s="158"/>
      <c r="I146" s="198"/>
      <c r="J146" s="88">
        <v>0.45</v>
      </c>
      <c r="K146" s="87">
        <v>2.2923800000000001</v>
      </c>
      <c r="L146" s="87">
        <v>-0.57004999999999995</v>
      </c>
      <c r="M146" s="470">
        <v>-2.281E-2</v>
      </c>
      <c r="N146" s="472"/>
    </row>
    <row r="147" spans="2:14" ht="15.75" hidden="1" customHeight="1" thickBot="1" x14ac:dyDescent="0.25">
      <c r="B147" s="840" t="s">
        <v>216</v>
      </c>
      <c r="C147" s="841"/>
      <c r="D147" s="841"/>
      <c r="E147" s="841"/>
      <c r="F147" s="841"/>
      <c r="G147" s="842"/>
      <c r="H147" s="158"/>
      <c r="I147" s="198"/>
      <c r="J147" s="89">
        <v>0.5</v>
      </c>
      <c r="K147" s="90">
        <v>2.20282</v>
      </c>
      <c r="L147" s="90">
        <v>-0.51598999999999995</v>
      </c>
      <c r="M147" s="473">
        <v>-1.259E-2</v>
      </c>
      <c r="N147" s="474"/>
    </row>
    <row r="148" spans="2:14" ht="15.75" hidden="1" customHeight="1" thickBot="1" x14ac:dyDescent="0.25">
      <c r="B148" s="843"/>
      <c r="C148" s="844"/>
      <c r="D148" s="844"/>
      <c r="E148" s="844"/>
      <c r="F148" s="844"/>
      <c r="G148" s="845"/>
      <c r="H148" s="158"/>
      <c r="I148" s="198"/>
      <c r="J148" s="105"/>
      <c r="K148" s="112"/>
      <c r="L148" s="107"/>
      <c r="M148" s="106"/>
      <c r="N148" s="474"/>
    </row>
    <row r="149" spans="2:14" ht="15.75" hidden="1" customHeight="1" thickBot="1" x14ac:dyDescent="0.25">
      <c r="B149" s="846"/>
      <c r="C149" s="847"/>
      <c r="D149" s="847"/>
      <c r="E149" s="847"/>
      <c r="F149" s="847"/>
      <c r="G149" s="848"/>
      <c r="H149" s="158"/>
      <c r="I149" s="877" t="s">
        <v>148</v>
      </c>
      <c r="J149" s="841"/>
      <c r="K149" s="841"/>
      <c r="L149" s="841"/>
      <c r="M149" s="841"/>
      <c r="N149" s="878"/>
    </row>
    <row r="150" spans="2:14" ht="15.75" hidden="1" customHeight="1" x14ac:dyDescent="0.25">
      <c r="B150" s="207" t="s">
        <v>117</v>
      </c>
      <c r="C150" s="196"/>
      <c r="D150" s="196"/>
      <c r="E150" s="196"/>
      <c r="F150" s="196"/>
      <c r="G150" s="208" t="s">
        <v>82</v>
      </c>
      <c r="H150" s="158"/>
      <c r="I150" s="879"/>
      <c r="J150" s="844"/>
      <c r="K150" s="844"/>
      <c r="L150" s="844"/>
      <c r="M150" s="844"/>
      <c r="N150" s="880"/>
    </row>
    <row r="151" spans="2:14" ht="15.75" hidden="1" customHeight="1" thickBot="1" x14ac:dyDescent="0.25">
      <c r="B151" s="179" t="s">
        <v>118</v>
      </c>
      <c r="C151" s="156"/>
      <c r="D151" s="156"/>
      <c r="E151" s="156"/>
      <c r="F151" s="156"/>
      <c r="G151" s="202">
        <v>1.6E-2</v>
      </c>
      <c r="H151" s="158"/>
      <c r="I151" s="881"/>
      <c r="J151" s="847"/>
      <c r="K151" s="847"/>
      <c r="L151" s="847"/>
      <c r="M151" s="847"/>
      <c r="N151" s="882"/>
    </row>
    <row r="152" spans="2:14" ht="18.75" hidden="1" customHeight="1" x14ac:dyDescent="0.25">
      <c r="B152" s="179" t="s">
        <v>119</v>
      </c>
      <c r="C152" s="156"/>
      <c r="D152" s="156"/>
      <c r="E152" s="156"/>
      <c r="F152" s="156"/>
      <c r="G152" s="202">
        <v>1.2E-2</v>
      </c>
      <c r="H152" s="158"/>
      <c r="I152" s="209" t="s">
        <v>147</v>
      </c>
      <c r="J152" s="196"/>
      <c r="K152" s="196"/>
      <c r="L152" s="197"/>
      <c r="M152" s="196"/>
      <c r="N152" s="475" t="s">
        <v>526</v>
      </c>
    </row>
    <row r="153" spans="2:14" ht="15" hidden="1" customHeight="1" x14ac:dyDescent="0.2">
      <c r="B153" s="179" t="s">
        <v>120</v>
      </c>
      <c r="C153" s="156"/>
      <c r="D153" s="156"/>
      <c r="E153" s="156"/>
      <c r="F153" s="156"/>
      <c r="G153" s="202">
        <v>1.4E-2</v>
      </c>
      <c r="H153" s="158"/>
      <c r="I153" s="210">
        <v>0</v>
      </c>
      <c r="J153" s="156"/>
      <c r="K153" s="156"/>
      <c r="L153" s="160" t="s">
        <v>153</v>
      </c>
      <c r="M153" s="156"/>
      <c r="N153" s="476">
        <v>1</v>
      </c>
    </row>
    <row r="154" spans="2:14" ht="15" hidden="1" customHeight="1" x14ac:dyDescent="0.2">
      <c r="B154" s="179" t="s">
        <v>83</v>
      </c>
      <c r="C154" s="156"/>
      <c r="D154" s="156"/>
      <c r="E154" s="156"/>
      <c r="F154" s="156"/>
      <c r="G154" s="202">
        <v>3.5000000000000003E-2</v>
      </c>
      <c r="H154" s="158"/>
      <c r="I154" s="210">
        <v>0.2</v>
      </c>
      <c r="J154" s="156"/>
      <c r="K154" s="156"/>
      <c r="L154" s="159" t="s">
        <v>157</v>
      </c>
      <c r="M154" s="156"/>
      <c r="N154" s="477">
        <v>0.97</v>
      </c>
    </row>
    <row r="155" spans="2:14" ht="15" hidden="1" customHeight="1" x14ac:dyDescent="0.2">
      <c r="B155" s="179" t="s">
        <v>122</v>
      </c>
      <c r="C155" s="156"/>
      <c r="D155" s="156"/>
      <c r="E155" s="156"/>
      <c r="F155" s="156"/>
      <c r="G155" s="202">
        <v>3.3000000000000002E-2</v>
      </c>
      <c r="H155" s="158"/>
      <c r="I155" s="210">
        <v>1</v>
      </c>
      <c r="J155" s="156"/>
      <c r="K155" s="156"/>
      <c r="L155" s="159" t="s">
        <v>156</v>
      </c>
      <c r="M155" s="156"/>
      <c r="N155" s="477">
        <v>0.87</v>
      </c>
    </row>
    <row r="156" spans="2:14" ht="15.75" hidden="1" customHeight="1" thickBot="1" x14ac:dyDescent="0.25">
      <c r="B156" s="211" t="s">
        <v>121</v>
      </c>
      <c r="C156" s="212"/>
      <c r="D156" s="212"/>
      <c r="E156" s="212"/>
      <c r="F156" s="212"/>
      <c r="G156" s="213">
        <v>0.04</v>
      </c>
      <c r="H156" s="158"/>
      <c r="I156" s="210">
        <v>3</v>
      </c>
      <c r="J156" s="156"/>
      <c r="K156" s="156"/>
      <c r="L156" s="159" t="s">
        <v>155</v>
      </c>
      <c r="M156" s="156"/>
      <c r="N156" s="477">
        <v>0.75</v>
      </c>
    </row>
    <row r="157" spans="2:14" ht="15" hidden="1" customHeight="1" x14ac:dyDescent="0.2">
      <c r="B157" s="158"/>
      <c r="C157" s="158"/>
      <c r="D157" s="158"/>
      <c r="E157" s="160"/>
      <c r="F157" s="160"/>
      <c r="G157" s="160"/>
      <c r="H157" s="158"/>
      <c r="I157" s="210">
        <v>5</v>
      </c>
      <c r="J157" s="156"/>
      <c r="K157" s="156"/>
      <c r="L157" s="214" t="s">
        <v>154</v>
      </c>
      <c r="M157" s="156"/>
      <c r="N157" s="477">
        <v>0.72</v>
      </c>
    </row>
    <row r="158" spans="2:14" ht="15.75" hidden="1" customHeight="1" x14ac:dyDescent="0.25">
      <c r="B158" s="215" t="s">
        <v>46</v>
      </c>
      <c r="C158" s="216"/>
      <c r="D158" s="216"/>
      <c r="E158" s="217"/>
      <c r="F158" s="217"/>
      <c r="G158" s="217"/>
      <c r="H158" s="216"/>
      <c r="I158" s="218"/>
      <c r="J158" s="117"/>
      <c r="K158" s="116"/>
      <c r="L158" s="107"/>
      <c r="M158" s="478"/>
      <c r="N158" s="474"/>
    </row>
    <row r="159" spans="2:14" ht="15.75" hidden="1" customHeight="1" thickBot="1" x14ac:dyDescent="0.25">
      <c r="B159" s="219" t="s">
        <v>102</v>
      </c>
      <c r="C159" s="216"/>
      <c r="D159" s="216"/>
      <c r="E159" s="217"/>
      <c r="F159" s="217"/>
      <c r="G159" s="217"/>
      <c r="H159" s="216"/>
      <c r="I159" s="220"/>
      <c r="J159" s="118"/>
      <c r="K159" s="119"/>
      <c r="L159" s="108"/>
      <c r="M159" s="479"/>
      <c r="N159" s="480"/>
    </row>
    <row r="160" spans="2:14" ht="15.75" hidden="1" customHeight="1" thickTop="1" x14ac:dyDescent="0.2">
      <c r="B160" s="219" t="s">
        <v>103</v>
      </c>
      <c r="C160" s="216"/>
      <c r="D160" s="216"/>
      <c r="E160" s="217"/>
      <c r="F160" s="217"/>
      <c r="G160" s="217"/>
      <c r="H160" s="216"/>
      <c r="I160" s="216"/>
      <c r="J160" s="117"/>
      <c r="K160" s="120"/>
      <c r="L160" s="109"/>
    </row>
    <row r="161" spans="1:27" ht="15" hidden="1" customHeight="1" x14ac:dyDescent="0.2">
      <c r="B161" s="216"/>
      <c r="C161" s="216"/>
      <c r="D161" s="216"/>
      <c r="E161" s="217"/>
      <c r="F161" s="217"/>
      <c r="G161" s="217"/>
      <c r="H161" s="216"/>
      <c r="I161" s="117"/>
      <c r="J161" s="107"/>
      <c r="K161" s="106"/>
      <c r="L161" s="110"/>
    </row>
    <row r="162" spans="1:27" ht="15.75" hidden="1" customHeight="1" thickBot="1" x14ac:dyDescent="0.25">
      <c r="B162" s="216"/>
      <c r="C162" s="217"/>
      <c r="D162" s="217"/>
      <c r="E162" s="217"/>
      <c r="F162" s="216"/>
      <c r="G162" s="216"/>
      <c r="H162" s="117"/>
      <c r="I162" s="111"/>
      <c r="J162" s="105"/>
      <c r="K162" s="206"/>
      <c r="L162" s="158"/>
    </row>
    <row r="163" spans="1:27" ht="16.5" hidden="1" customHeight="1" thickBot="1" x14ac:dyDescent="0.3">
      <c r="B163" s="852" t="s">
        <v>206</v>
      </c>
      <c r="C163" s="853"/>
      <c r="D163" s="853"/>
      <c r="E163" s="853"/>
      <c r="F163" s="854"/>
      <c r="G163" s="514"/>
      <c r="H163" s="514"/>
      <c r="I163" s="507"/>
      <c r="J163" s="542"/>
      <c r="K163" s="543" t="s">
        <v>532</v>
      </c>
      <c r="L163" s="544"/>
      <c r="M163" s="507"/>
      <c r="N163" s="507"/>
      <c r="O163" s="507"/>
      <c r="P163" s="507"/>
      <c r="Q163" s="507"/>
      <c r="R163" s="507"/>
      <c r="S163" s="507"/>
      <c r="T163" s="507"/>
      <c r="U163" s="507"/>
      <c r="V163" s="507"/>
      <c r="W163" s="507"/>
      <c r="X163" s="507"/>
      <c r="Y163" s="507"/>
      <c r="Z163" s="507"/>
      <c r="AA163" s="507"/>
    </row>
    <row r="164" spans="1:27" ht="15" hidden="1" customHeight="1" x14ac:dyDescent="0.2">
      <c r="B164" s="517"/>
      <c r="C164" s="510"/>
      <c r="D164" s="510"/>
      <c r="E164" s="510"/>
      <c r="F164" s="518"/>
      <c r="G164" s="514"/>
      <c r="H164" s="514"/>
      <c r="I164" s="507"/>
      <c r="J164" s="530"/>
      <c r="K164" s="512"/>
      <c r="L164" s="522"/>
      <c r="M164" s="507"/>
      <c r="N164" s="507"/>
      <c r="O164" s="507"/>
      <c r="P164" s="507"/>
      <c r="Q164" s="507"/>
      <c r="R164" s="507"/>
      <c r="S164" s="507"/>
      <c r="T164" s="507"/>
      <c r="U164" s="507"/>
      <c r="V164" s="507"/>
      <c r="W164" s="507"/>
      <c r="X164" s="507"/>
      <c r="Y164" s="507"/>
      <c r="Z164" s="507"/>
      <c r="AA164" s="507"/>
    </row>
    <row r="165" spans="1:27" ht="19.5" hidden="1" customHeight="1" x14ac:dyDescent="0.35">
      <c r="B165" s="509" t="s">
        <v>533</v>
      </c>
      <c r="C165" s="510"/>
      <c r="D165" s="510"/>
      <c r="E165" s="510"/>
      <c r="F165" s="518"/>
      <c r="G165" s="508"/>
      <c r="H165" s="514"/>
      <c r="I165" s="507"/>
      <c r="J165" s="509" t="s">
        <v>534</v>
      </c>
      <c r="K165" s="506"/>
      <c r="L165" s="513"/>
      <c r="M165" s="507"/>
      <c r="N165" s="507"/>
      <c r="O165" s="507"/>
      <c r="P165" s="507"/>
      <c r="Q165" s="507"/>
      <c r="R165" s="507"/>
      <c r="S165" s="507"/>
      <c r="T165" s="507"/>
      <c r="U165" s="507"/>
      <c r="V165" s="507"/>
      <c r="W165" s="507"/>
      <c r="X165" s="507"/>
      <c r="Y165" s="507"/>
      <c r="Z165" s="507"/>
      <c r="AA165" s="507"/>
    </row>
    <row r="166" spans="1:27" ht="15" hidden="1" customHeight="1" x14ac:dyDescent="0.2">
      <c r="B166" s="509"/>
      <c r="C166" s="510"/>
      <c r="D166" s="510"/>
      <c r="E166" s="510"/>
      <c r="F166" s="518"/>
      <c r="G166" s="508"/>
      <c r="H166" s="514"/>
      <c r="I166" s="507"/>
      <c r="J166" s="509" t="s">
        <v>535</v>
      </c>
      <c r="K166" s="506"/>
      <c r="L166" s="513"/>
      <c r="M166" s="507"/>
      <c r="N166" s="507"/>
      <c r="O166" s="507"/>
      <c r="P166" s="507"/>
      <c r="Q166" s="507"/>
      <c r="R166" s="507"/>
      <c r="S166" s="507"/>
      <c r="T166" s="507"/>
      <c r="U166" s="507"/>
      <c r="V166" s="507"/>
      <c r="W166" s="507"/>
      <c r="X166" s="507"/>
      <c r="Y166" s="507"/>
      <c r="Z166" s="507"/>
      <c r="AA166" s="507"/>
    </row>
    <row r="167" spans="1:27" ht="15" hidden="1" customHeight="1" x14ac:dyDescent="0.2">
      <c r="B167" s="524" t="s">
        <v>536</v>
      </c>
      <c r="C167" s="549">
        <f>SUM(H25:K26)</f>
        <v>0</v>
      </c>
      <c r="D167" s="510"/>
      <c r="E167" s="524" t="s">
        <v>537</v>
      </c>
      <c r="F167" s="533">
        <f>SUM(H17:K24)</f>
        <v>0</v>
      </c>
      <c r="G167" s="547" t="s">
        <v>538</v>
      </c>
      <c r="H167" s="514"/>
      <c r="I167" s="507"/>
      <c r="J167" s="509" t="s">
        <v>539</v>
      </c>
      <c r="K167" s="506"/>
      <c r="L167" s="513"/>
      <c r="M167" s="507"/>
      <c r="N167" s="507"/>
      <c r="O167" s="507"/>
      <c r="P167" s="507"/>
      <c r="Q167" s="507"/>
      <c r="R167" s="507"/>
      <c r="S167" s="507"/>
      <c r="T167" s="507"/>
      <c r="U167" s="507"/>
      <c r="V167" s="507"/>
      <c r="W167" s="507"/>
      <c r="X167" s="507"/>
      <c r="Y167" s="507"/>
      <c r="Z167" s="507"/>
      <c r="AA167" s="507"/>
    </row>
    <row r="168" spans="1:27" ht="19.5" hidden="1" customHeight="1" x14ac:dyDescent="0.35">
      <c r="B168" s="519" t="s">
        <v>540</v>
      </c>
      <c r="C168" s="515">
        <f>(1000/98)-10</f>
        <v>0.20408163265306101</v>
      </c>
      <c r="D168" s="510"/>
      <c r="E168" s="505" t="s">
        <v>380</v>
      </c>
      <c r="F168" s="520" t="e">
        <f>IF(I109&gt;64,(1000/I109)-10,0)</f>
        <v>#VALUE!</v>
      </c>
      <c r="G168" s="514"/>
      <c r="H168" s="514"/>
      <c r="I168" s="507"/>
      <c r="J168" s="509" t="s">
        <v>541</v>
      </c>
      <c r="K168" s="506"/>
      <c r="L168" s="513"/>
      <c r="M168" s="507"/>
      <c r="N168" s="507"/>
      <c r="O168" s="507"/>
      <c r="P168" s="507"/>
      <c r="Q168" s="507"/>
      <c r="R168" s="507"/>
      <c r="S168" s="507"/>
      <c r="T168" s="507"/>
      <c r="U168" s="507"/>
      <c r="V168" s="507"/>
      <c r="W168" s="507"/>
      <c r="X168" s="507"/>
      <c r="Y168" s="507"/>
      <c r="Z168" s="507"/>
      <c r="AA168" s="507"/>
    </row>
    <row r="169" spans="1:27" ht="20.25" hidden="1" customHeight="1" thickBot="1" x14ac:dyDescent="0.25">
      <c r="B169" s="519" t="s">
        <v>542</v>
      </c>
      <c r="C169" s="516">
        <f>(1-(0.2*$C$168))^2/(1+(0.8*$C$168))</f>
        <v>0.79090583601861819</v>
      </c>
      <c r="D169" s="510"/>
      <c r="E169" s="505" t="s">
        <v>381</v>
      </c>
      <c r="F169" s="548" t="e">
        <f>IF(I109&gt;64,(1-(0.2*F168))^2/(1+(0.8*F168)),0)</f>
        <v>#VALUE!</v>
      </c>
      <c r="G169" s="514"/>
      <c r="H169" s="514"/>
      <c r="I169" s="523"/>
      <c r="J169" s="538"/>
      <c r="K169" s="511" t="s">
        <v>543</v>
      </c>
      <c r="L169" s="539" t="e">
        <f>(SUM(H25:K26))/H9</f>
        <v>#VALUE!</v>
      </c>
      <c r="M169" s="507" t="s">
        <v>544</v>
      </c>
      <c r="N169" s="507"/>
      <c r="O169" s="507"/>
      <c r="P169" s="507"/>
      <c r="Q169" s="507"/>
      <c r="R169" s="507"/>
      <c r="S169" s="507"/>
      <c r="T169" s="507"/>
      <c r="U169" s="507"/>
      <c r="V169" s="507"/>
      <c r="W169" s="507"/>
      <c r="X169" s="507"/>
      <c r="Y169" s="507"/>
      <c r="Z169" s="507"/>
      <c r="AA169" s="507"/>
    </row>
    <row r="170" spans="1:27" s="497" customFormat="1" ht="24" hidden="1" customHeight="1" thickBot="1" x14ac:dyDescent="0.4">
      <c r="B170" s="524" t="s">
        <v>545</v>
      </c>
      <c r="C170" s="545">
        <f>(C169/12)*(C167*43560)</f>
        <v>0</v>
      </c>
      <c r="D170" s="511"/>
      <c r="E170" s="511" t="s">
        <v>545</v>
      </c>
      <c r="F170" s="546" t="e">
        <f>(F169/12)*(F167*43560)</f>
        <v>#VALUE!</v>
      </c>
      <c r="G170" s="530" t="s">
        <v>546</v>
      </c>
      <c r="H170" s="521"/>
      <c r="I170" s="536"/>
      <c r="J170" s="540"/>
      <c r="K170" s="511" t="s">
        <v>547</v>
      </c>
      <c r="L170" s="539" t="e">
        <f>0.05+(0.9*L169)</f>
        <v>#VALUE!</v>
      </c>
      <c r="M170" s="523"/>
      <c r="N170" s="523"/>
    </row>
    <row r="171" spans="1:27" s="497" customFormat="1" ht="24" hidden="1" customHeight="1" thickBot="1" x14ac:dyDescent="0.4">
      <c r="B171" s="524" t="s">
        <v>382</v>
      </c>
      <c r="C171" s="525" t="e">
        <f>(C169*C167+F169*F167)/H10</f>
        <v>#VALUE!</v>
      </c>
      <c r="D171" s="526"/>
      <c r="E171" s="510"/>
      <c r="F171" s="518"/>
      <c r="G171" s="552" t="e">
        <f>C170+F170</f>
        <v>#VALUE!</v>
      </c>
      <c r="H171" s="532"/>
      <c r="I171" s="506" t="s">
        <v>548</v>
      </c>
      <c r="J171" s="540"/>
      <c r="K171" s="534" t="s">
        <v>549</v>
      </c>
      <c r="L171" s="535" t="e">
        <f>3630*1*L170*H9</f>
        <v>#VALUE!</v>
      </c>
      <c r="M171" s="523"/>
      <c r="N171" s="523"/>
    </row>
    <row r="172" spans="1:27" s="497" customFormat="1" ht="15.75" hidden="1" customHeight="1" thickBot="1" x14ac:dyDescent="0.25">
      <c r="B172" s="527"/>
      <c r="C172" s="528"/>
      <c r="D172" s="528"/>
      <c r="E172" s="528"/>
      <c r="F172" s="529"/>
      <c r="G172" s="527"/>
      <c r="H172" s="528"/>
      <c r="I172" s="537"/>
      <c r="J172" s="541"/>
      <c r="K172" s="537"/>
      <c r="L172" s="531"/>
      <c r="M172" s="523"/>
      <c r="N172" s="523"/>
    </row>
    <row r="173" spans="1:27" s="145" customFormat="1" ht="15" hidden="1" customHeight="1" x14ac:dyDescent="0.2">
      <c r="A173" s="497"/>
      <c r="B173" s="868" t="s">
        <v>161</v>
      </c>
      <c r="C173" s="868"/>
      <c r="D173" s="868"/>
      <c r="E173" s="868"/>
      <c r="F173" s="348"/>
      <c r="G173" s="348"/>
      <c r="H173" s="348"/>
      <c r="I173" s="348"/>
      <c r="J173" s="348"/>
      <c r="K173" s="348"/>
      <c r="L173" s="348"/>
      <c r="M173" s="348"/>
      <c r="N173" s="348"/>
    </row>
    <row r="174" spans="1:27" s="145" customFormat="1" ht="15.75" hidden="1" customHeight="1" thickBot="1" x14ac:dyDescent="0.25">
      <c r="A174" s="497"/>
      <c r="B174" s="868"/>
      <c r="C174" s="868"/>
      <c r="D174" s="868"/>
      <c r="E174" s="868"/>
      <c r="F174" s="348"/>
      <c r="G174" s="348"/>
      <c r="H174" s="348"/>
      <c r="I174" s="507"/>
      <c r="J174" s="348"/>
      <c r="K174" s="348"/>
      <c r="L174" s="348"/>
      <c r="M174" s="348"/>
      <c r="N174" s="348"/>
    </row>
    <row r="175" spans="1:27" s="145" customFormat="1" ht="16.5" hidden="1" customHeight="1" thickBot="1" x14ac:dyDescent="0.3">
      <c r="A175" s="497"/>
      <c r="B175" s="351"/>
      <c r="C175" s="352"/>
      <c r="D175" s="353"/>
      <c r="E175" s="351"/>
      <c r="F175" s="348"/>
      <c r="G175" s="348"/>
      <c r="H175" s="348"/>
      <c r="I175" s="507" t="s">
        <v>550</v>
      </c>
      <c r="J175" s="523"/>
      <c r="K175" s="551" t="e">
        <f>IF(G171&gt;L171,G171,L171)</f>
        <v>#VALUE!</v>
      </c>
      <c r="L175" s="507" t="s">
        <v>551</v>
      </c>
      <c r="M175" s="348"/>
      <c r="N175" s="348"/>
    </row>
    <row r="176" spans="1:27" s="145" customFormat="1" ht="19.5" hidden="1" customHeight="1" x14ac:dyDescent="0.2">
      <c r="A176" s="497"/>
      <c r="B176" s="833" t="s">
        <v>227</v>
      </c>
      <c r="C176" s="833"/>
      <c r="D176" s="833"/>
      <c r="E176" s="833"/>
      <c r="F176" s="158"/>
      <c r="G176" s="348"/>
      <c r="H176" s="349"/>
      <c r="I176" s="350"/>
      <c r="J176" s="348"/>
      <c r="K176" s="348"/>
      <c r="L176" s="348"/>
      <c r="M176" s="348"/>
      <c r="N176" s="348"/>
    </row>
    <row r="177" spans="1:14" s="145" customFormat="1" ht="15" hidden="1" customHeight="1" x14ac:dyDescent="0.2">
      <c r="A177" s="497"/>
      <c r="B177" s="834" t="s">
        <v>33</v>
      </c>
      <c r="C177" s="834"/>
      <c r="D177" s="834"/>
      <c r="E177" s="834"/>
      <c r="F177" s="348"/>
      <c r="G177" s="348"/>
      <c r="H177" s="348"/>
      <c r="I177" s="348"/>
      <c r="J177" s="348"/>
      <c r="K177" s="348"/>
      <c r="L177" s="348"/>
      <c r="M177" s="348"/>
      <c r="N177" s="348"/>
    </row>
    <row r="178" spans="1:14" s="145" customFormat="1" ht="19.5" hidden="1" customHeight="1" x14ac:dyDescent="0.2">
      <c r="A178" s="497"/>
      <c r="B178" s="833" t="s">
        <v>228</v>
      </c>
      <c r="C178" s="833"/>
      <c r="D178" s="833"/>
      <c r="E178" s="833"/>
      <c r="F178" s="348"/>
      <c r="G178" s="348"/>
      <c r="H178" s="348"/>
      <c r="I178" s="348"/>
      <c r="J178" s="348"/>
      <c r="K178" s="348"/>
      <c r="L178" s="348"/>
      <c r="M178" s="348"/>
      <c r="N178" s="348"/>
    </row>
    <row r="179" spans="1:14" s="145" customFormat="1" ht="19.5" hidden="1" customHeight="1" x14ac:dyDescent="0.2">
      <c r="A179" s="497"/>
      <c r="B179" s="833" t="s">
        <v>224</v>
      </c>
      <c r="C179" s="833"/>
      <c r="D179" s="833"/>
      <c r="E179" s="833"/>
      <c r="F179" s="348"/>
      <c r="G179" s="348"/>
      <c r="H179" s="348"/>
      <c r="I179" s="348"/>
      <c r="J179" s="348"/>
      <c r="K179" s="348"/>
      <c r="L179" s="348"/>
      <c r="M179" s="348"/>
      <c r="N179" s="348"/>
    </row>
    <row r="180" spans="1:14" s="145" customFormat="1" ht="19.5" hidden="1" customHeight="1" x14ac:dyDescent="0.2">
      <c r="A180" s="497"/>
      <c r="B180" s="833" t="s">
        <v>162</v>
      </c>
      <c r="C180" s="833"/>
      <c r="D180" s="833"/>
      <c r="E180" s="833"/>
      <c r="F180" s="348"/>
      <c r="G180" s="348"/>
      <c r="H180" s="348"/>
      <c r="I180" s="348"/>
      <c r="J180" s="348"/>
      <c r="K180" s="348"/>
      <c r="L180" s="348"/>
      <c r="M180" s="348"/>
      <c r="N180" s="348"/>
    </row>
    <row r="181" spans="1:14" s="145" customFormat="1" ht="15" hidden="1" customHeight="1" x14ac:dyDescent="0.2">
      <c r="A181" s="497"/>
      <c r="B181" s="835" t="s">
        <v>163</v>
      </c>
      <c r="C181" s="835"/>
      <c r="D181" s="835"/>
      <c r="E181" s="835"/>
      <c r="F181" s="348"/>
      <c r="G181" s="348"/>
      <c r="H181" s="348"/>
      <c r="I181" s="348"/>
      <c r="J181" s="348"/>
      <c r="K181" s="348"/>
      <c r="L181" s="348"/>
      <c r="M181" s="348"/>
      <c r="N181" s="348"/>
    </row>
    <row r="182" spans="1:14" s="145" customFormat="1" ht="15" hidden="1" customHeight="1" x14ac:dyDescent="0.2">
      <c r="A182" s="497"/>
      <c r="B182" s="348"/>
      <c r="C182" s="348"/>
      <c r="D182" s="348"/>
      <c r="E182" s="348"/>
      <c r="F182" s="348"/>
      <c r="G182" s="348"/>
      <c r="H182" s="348"/>
      <c r="I182" s="348"/>
      <c r="J182" s="348"/>
      <c r="K182" s="348"/>
      <c r="L182" s="348"/>
      <c r="M182" s="348"/>
      <c r="N182" s="348"/>
    </row>
    <row r="183" spans="1:14" s="145" customFormat="1" ht="19.5" hidden="1" customHeight="1" x14ac:dyDescent="0.2">
      <c r="A183" s="497"/>
      <c r="B183" s="354" t="s">
        <v>225</v>
      </c>
      <c r="C183" s="355" t="e">
        <f>$H$74</f>
        <v>#VALUE!</v>
      </c>
      <c r="D183" s="356"/>
      <c r="E183" s="356"/>
      <c r="F183" s="348"/>
      <c r="G183" s="348"/>
      <c r="H183" s="348"/>
      <c r="I183" s="348"/>
      <c r="J183" s="348"/>
      <c r="K183" s="348"/>
      <c r="L183" s="348"/>
      <c r="M183" s="348"/>
      <c r="N183" s="348"/>
    </row>
    <row r="184" spans="1:14" s="139" customFormat="1" ht="19.5" hidden="1" customHeight="1" x14ac:dyDescent="0.2">
      <c r="B184" s="354" t="s">
        <v>164</v>
      </c>
      <c r="C184" s="160" t="e">
        <f>ROUND((C183-(C186/100)*98)/(1-(C186/100)),2)</f>
        <v>#VALUE!</v>
      </c>
      <c r="D184" s="356"/>
      <c r="E184" s="356"/>
      <c r="F184" s="158"/>
      <c r="G184" s="158"/>
      <c r="H184" s="158"/>
      <c r="I184" s="158"/>
      <c r="J184" s="158"/>
      <c r="K184" s="158"/>
      <c r="L184" s="158"/>
      <c r="M184" s="158"/>
      <c r="N184" s="158"/>
    </row>
    <row r="185" spans="1:14" s="139" customFormat="1" ht="19.5" hidden="1" customHeight="1" x14ac:dyDescent="0.2">
      <c r="B185" s="354" t="s">
        <v>165</v>
      </c>
      <c r="C185" s="357" t="e">
        <f>SUM(H25:K26)/SUM(H17:K26)</f>
        <v>#DIV/0!</v>
      </c>
      <c r="D185" s="358">
        <v>0.3</v>
      </c>
      <c r="E185" s="359"/>
      <c r="F185" s="158"/>
      <c r="G185" s="158"/>
      <c r="H185" s="158"/>
      <c r="I185" s="158"/>
      <c r="J185" s="158"/>
      <c r="K185" s="158"/>
      <c r="L185" s="158"/>
      <c r="M185" s="158"/>
      <c r="N185" s="158"/>
    </row>
    <row r="186" spans="1:14" s="139" customFormat="1" ht="34.5" hidden="1" customHeight="1" x14ac:dyDescent="0.2">
      <c r="B186" s="360" t="s">
        <v>317</v>
      </c>
      <c r="C186" s="357" t="e">
        <f>IF(C185&gt;D185,D185,C185)</f>
        <v>#DIV/0!</v>
      </c>
      <c r="D186" s="359"/>
      <c r="E186" s="359"/>
      <c r="F186" s="158"/>
      <c r="G186" s="158"/>
      <c r="H186" s="158"/>
      <c r="I186" s="158"/>
      <c r="J186" s="158"/>
      <c r="K186" s="158"/>
      <c r="L186" s="158"/>
      <c r="M186" s="158"/>
      <c r="N186" s="158"/>
    </row>
    <row r="187" spans="1:14" s="139" customFormat="1" ht="15" hidden="1" customHeight="1" x14ac:dyDescent="0.2">
      <c r="B187" s="354" t="s">
        <v>166</v>
      </c>
      <c r="C187" s="361" t="str">
        <f>IF(D76&gt;0,(D76/(SUM($H$25:$K$26))),"-")</f>
        <v>-</v>
      </c>
      <c r="D187" s="362"/>
      <c r="E187" s="362"/>
      <c r="F187" s="362"/>
      <c r="G187" s="362"/>
      <c r="H187" s="362"/>
      <c r="I187" s="362"/>
      <c r="J187" s="362"/>
      <c r="K187" s="156"/>
      <c r="L187" s="158"/>
      <c r="M187" s="158"/>
      <c r="N187" s="158"/>
    </row>
    <row r="188" spans="1:14" s="139" customFormat="1" ht="19.5" hidden="1" customHeight="1" x14ac:dyDescent="0.2">
      <c r="B188" s="354" t="s">
        <v>229</v>
      </c>
      <c r="C188" s="160" t="e">
        <f>ROUND(C184+((C186/100)*(98-C184)*(1-(0.5*C187))),2)</f>
        <v>#VALUE!</v>
      </c>
      <c r="D188" s="158"/>
      <c r="E188" s="158"/>
      <c r="F188" s="158"/>
      <c r="G188" s="158"/>
      <c r="H188" s="158"/>
      <c r="I188" s="158"/>
      <c r="J188" s="158"/>
      <c r="K188" s="158"/>
      <c r="L188" s="158"/>
      <c r="M188" s="158"/>
      <c r="N188" s="158"/>
    </row>
    <row r="189" spans="1:14" s="145" customFormat="1" ht="15" hidden="1" customHeight="1" x14ac:dyDescent="0.2">
      <c r="A189" s="497"/>
      <c r="B189" s="348"/>
      <c r="C189" s="348"/>
      <c r="D189" s="348"/>
      <c r="E189" s="348"/>
      <c r="F189" s="348"/>
      <c r="G189" s="348"/>
      <c r="H189" s="348"/>
      <c r="I189" s="348"/>
      <c r="J189" s="348"/>
      <c r="K189" s="348"/>
      <c r="L189" s="348"/>
      <c r="M189" s="348"/>
      <c r="N189" s="348"/>
    </row>
    <row r="190" spans="1:14" s="145" customFormat="1" ht="15" hidden="1" customHeight="1" x14ac:dyDescent="0.2">
      <c r="A190" s="497"/>
      <c r="B190" s="348"/>
      <c r="C190" s="348"/>
      <c r="D190" s="348"/>
      <c r="E190" s="348"/>
      <c r="F190" s="348"/>
      <c r="G190" s="348"/>
      <c r="H190" s="348"/>
      <c r="I190" s="348"/>
      <c r="J190" s="348"/>
      <c r="K190" s="348"/>
      <c r="L190" s="348"/>
      <c r="M190" s="348"/>
      <c r="N190" s="348"/>
    </row>
    <row r="191" spans="1:14" s="145" customFormat="1" ht="30" hidden="1" customHeight="1" x14ac:dyDescent="0.2">
      <c r="A191" s="497"/>
      <c r="B191" s="413" t="s">
        <v>402</v>
      </c>
      <c r="C191" s="361">
        <f>SUM($H$26:$K$26)</f>
        <v>0</v>
      </c>
      <c r="D191" s="348"/>
      <c r="E191" s="362"/>
      <c r="F191" s="362"/>
      <c r="G191" s="362"/>
      <c r="H191" s="362"/>
      <c r="I191" s="362"/>
      <c r="J191" s="362"/>
      <c r="K191" s="362"/>
      <c r="L191" s="348"/>
      <c r="M191" s="348"/>
      <c r="N191" s="348"/>
    </row>
    <row r="192" spans="1:14" s="145" customFormat="1" ht="15" hidden="1" customHeight="1" x14ac:dyDescent="0.2">
      <c r="A192" s="497"/>
      <c r="B192" s="348"/>
      <c r="C192" s="348"/>
      <c r="D192" s="348"/>
      <c r="E192" s="348"/>
      <c r="F192" s="348"/>
      <c r="G192" s="348"/>
      <c r="H192" s="348"/>
      <c r="I192" s="348"/>
      <c r="J192" s="348"/>
      <c r="K192" s="348"/>
      <c r="L192" s="348"/>
      <c r="M192" s="348"/>
      <c r="N192" s="348"/>
    </row>
    <row r="193" spans="1:14" s="145" customFormat="1" ht="15" hidden="1" customHeight="1" x14ac:dyDescent="0.2">
      <c r="A193" s="497"/>
      <c r="B193" s="348"/>
      <c r="C193" s="348"/>
      <c r="D193" s="348"/>
      <c r="E193" s="348"/>
      <c r="F193" s="348"/>
      <c r="G193" s="348"/>
      <c r="H193" s="348"/>
      <c r="I193" s="348"/>
      <c r="J193" s="348"/>
      <c r="K193" s="348"/>
      <c r="L193" s="348"/>
      <c r="M193" s="348"/>
      <c r="N193" s="348"/>
    </row>
    <row r="194" spans="1:14" s="145" customFormat="1" ht="15" hidden="1" customHeight="1" x14ac:dyDescent="0.2">
      <c r="A194" s="497"/>
      <c r="B194" s="348"/>
      <c r="C194" s="348"/>
      <c r="D194" s="348"/>
      <c r="E194" s="348"/>
      <c r="F194" s="348"/>
      <c r="G194" s="348"/>
      <c r="H194" s="348"/>
      <c r="I194" s="348"/>
      <c r="J194" s="348"/>
      <c r="K194" s="348"/>
      <c r="L194" s="348"/>
      <c r="M194" s="348"/>
      <c r="N194" s="348"/>
    </row>
    <row r="195" spans="1:14" s="145" customFormat="1" x14ac:dyDescent="0.2">
      <c r="A195" s="497"/>
      <c r="B195" s="737" t="s">
        <v>435</v>
      </c>
      <c r="C195" s="737"/>
      <c r="D195" s="737"/>
      <c r="E195" s="737"/>
      <c r="F195" s="737"/>
      <c r="G195" s="737"/>
      <c r="H195" s="737"/>
      <c r="I195" s="737"/>
      <c r="J195" s="737"/>
      <c r="K195" s="737"/>
      <c r="L195" s="158"/>
      <c r="M195" s="348"/>
      <c r="N195" s="348"/>
    </row>
    <row r="196" spans="1:14" x14ac:dyDescent="0.2">
      <c r="B196" s="737"/>
      <c r="C196" s="737"/>
      <c r="D196" s="737"/>
      <c r="E196" s="737"/>
      <c r="F196" s="737"/>
      <c r="G196" s="737"/>
      <c r="H196" s="737"/>
      <c r="I196" s="737"/>
      <c r="J196" s="737"/>
      <c r="K196" s="737"/>
      <c r="L196" s="158"/>
    </row>
    <row r="197" spans="1:14" ht="15.75" x14ac:dyDescent="0.2">
      <c r="B197" s="738" t="s">
        <v>436</v>
      </c>
      <c r="C197" s="738"/>
      <c r="D197" s="738"/>
      <c r="E197" s="738"/>
      <c r="F197" s="738"/>
      <c r="G197" s="738"/>
      <c r="H197" s="738"/>
      <c r="I197" s="738"/>
      <c r="J197" s="738"/>
      <c r="K197" s="738"/>
      <c r="L197" s="158"/>
    </row>
    <row r="198" spans="1:14" x14ac:dyDescent="0.2">
      <c r="B198" s="737" t="s">
        <v>437</v>
      </c>
      <c r="C198" s="737"/>
      <c r="D198" s="737"/>
      <c r="E198" s="737"/>
      <c r="F198" s="737"/>
      <c r="G198" s="737"/>
      <c r="H198" s="737"/>
      <c r="I198" s="737"/>
      <c r="J198" s="737"/>
      <c r="K198" s="737"/>
      <c r="L198" s="158"/>
    </row>
    <row r="199" spans="1:14" x14ac:dyDescent="0.2">
      <c r="B199" s="737"/>
      <c r="C199" s="737"/>
      <c r="D199" s="737"/>
      <c r="E199" s="737"/>
      <c r="F199" s="737"/>
      <c r="G199" s="737"/>
      <c r="H199" s="737"/>
      <c r="I199" s="737"/>
      <c r="J199" s="737"/>
      <c r="K199" s="737"/>
    </row>
    <row r="200" spans="1:14" x14ac:dyDescent="0.2">
      <c r="B200" s="158"/>
      <c r="C200" s="158"/>
      <c r="D200" s="158"/>
      <c r="E200" s="160"/>
      <c r="F200" s="160"/>
      <c r="G200" s="160"/>
      <c r="H200" s="158"/>
      <c r="I200" s="158"/>
      <c r="J200" s="158"/>
      <c r="K200" s="158"/>
    </row>
    <row r="201" spans="1:14" x14ac:dyDescent="0.2">
      <c r="B201" s="158"/>
      <c r="C201" s="158"/>
      <c r="D201" s="158"/>
      <c r="E201" s="160"/>
      <c r="F201" s="160"/>
      <c r="G201" s="160"/>
      <c r="H201" s="158"/>
      <c r="I201" s="158"/>
      <c r="J201" s="158"/>
      <c r="K201" s="158"/>
    </row>
    <row r="202" spans="1:14" x14ac:dyDescent="0.2">
      <c r="B202" s="158"/>
      <c r="C202" s="158"/>
      <c r="D202" s="158"/>
      <c r="E202" s="160"/>
      <c r="F202" s="160"/>
      <c r="G202" s="160"/>
      <c r="H202" s="158"/>
      <c r="I202" s="158"/>
      <c r="J202" s="158"/>
      <c r="K202" s="158"/>
    </row>
    <row r="203" spans="1:14" x14ac:dyDescent="0.2">
      <c r="B203" s="158"/>
      <c r="C203" s="158"/>
      <c r="D203" s="158"/>
      <c r="E203" s="160"/>
      <c r="F203" s="160"/>
      <c r="G203" s="160"/>
      <c r="H203" s="158"/>
      <c r="I203" s="158"/>
      <c r="J203" s="158"/>
      <c r="K203" s="158"/>
    </row>
    <row r="204" spans="1:14" x14ac:dyDescent="0.2">
      <c r="B204" s="158"/>
      <c r="C204" s="158"/>
      <c r="D204" s="158"/>
      <c r="E204" s="160"/>
      <c r="F204" s="160"/>
      <c r="G204" s="160"/>
      <c r="H204" s="158"/>
      <c r="I204" s="158"/>
      <c r="J204" s="158"/>
      <c r="K204" s="158"/>
    </row>
    <row r="205" spans="1:14" x14ac:dyDescent="0.2">
      <c r="B205" s="158"/>
      <c r="C205" s="158"/>
      <c r="D205" s="158"/>
      <c r="E205" s="160"/>
      <c r="F205" s="160"/>
      <c r="G205" s="160"/>
      <c r="H205" s="158"/>
      <c r="I205" s="158"/>
      <c r="J205" s="158"/>
      <c r="K205" s="158"/>
    </row>
    <row r="206" spans="1:14" x14ac:dyDescent="0.2">
      <c r="B206" s="158"/>
      <c r="C206" s="158"/>
      <c r="D206" s="158"/>
      <c r="E206" s="160"/>
      <c r="F206" s="160"/>
      <c r="G206" s="160"/>
      <c r="H206" s="158"/>
      <c r="I206" s="158"/>
      <c r="J206" s="158"/>
      <c r="K206" s="158"/>
    </row>
    <row r="207" spans="1:14" x14ac:dyDescent="0.2">
      <c r="B207" s="158"/>
      <c r="C207" s="158"/>
      <c r="D207" s="158"/>
      <c r="E207" s="160"/>
      <c r="F207" s="160"/>
      <c r="G207" s="160"/>
      <c r="H207" s="158"/>
      <c r="I207" s="158"/>
      <c r="J207" s="158"/>
      <c r="K207" s="158"/>
    </row>
    <row r="208" spans="1:14" x14ac:dyDescent="0.2">
      <c r="B208" s="158"/>
      <c r="C208" s="158"/>
      <c r="D208" s="158"/>
      <c r="E208" s="160"/>
      <c r="F208" s="160"/>
      <c r="G208" s="160"/>
      <c r="H208" s="158"/>
      <c r="I208" s="158"/>
      <c r="J208" s="158"/>
      <c r="K208" s="158"/>
    </row>
    <row r="209" spans="1:12" x14ac:dyDescent="0.2">
      <c r="B209" s="158"/>
      <c r="C209" s="158"/>
      <c r="D209" s="158"/>
      <c r="E209" s="160"/>
      <c r="F209" s="160"/>
      <c r="G209" s="160"/>
      <c r="H209" s="158"/>
      <c r="I209" s="158"/>
      <c r="J209" s="158"/>
      <c r="K209" s="158"/>
    </row>
    <row r="210" spans="1:12" s="158" customFormat="1" x14ac:dyDescent="0.2">
      <c r="A210" s="507"/>
      <c r="E210" s="160"/>
      <c r="F210" s="160"/>
      <c r="G210" s="160"/>
      <c r="L210" s="160"/>
    </row>
    <row r="211" spans="1:12" s="158" customFormat="1" x14ac:dyDescent="0.2">
      <c r="A211" s="507"/>
      <c r="E211" s="160"/>
      <c r="F211" s="160"/>
      <c r="G211" s="160"/>
      <c r="L211" s="160"/>
    </row>
    <row r="212" spans="1:12" s="158" customFormat="1" x14ac:dyDescent="0.2">
      <c r="A212" s="507"/>
      <c r="E212" s="160"/>
      <c r="F212" s="160"/>
      <c r="G212" s="160"/>
      <c r="L212" s="160"/>
    </row>
    <row r="213" spans="1:12" s="158" customFormat="1" x14ac:dyDescent="0.2">
      <c r="A213" s="507"/>
      <c r="E213" s="160"/>
      <c r="F213" s="160"/>
      <c r="G213" s="160"/>
      <c r="L213" s="160"/>
    </row>
    <row r="214" spans="1:12" s="158" customFormat="1" x14ac:dyDescent="0.2">
      <c r="A214" s="507"/>
      <c r="E214" s="160"/>
      <c r="F214" s="160"/>
      <c r="G214" s="160"/>
      <c r="L214" s="160"/>
    </row>
    <row r="215" spans="1:12" s="158" customFormat="1" x14ac:dyDescent="0.2">
      <c r="A215" s="507"/>
      <c r="E215" s="160"/>
      <c r="F215" s="160"/>
      <c r="G215" s="160"/>
      <c r="L215" s="160"/>
    </row>
    <row r="216" spans="1:12" s="158" customFormat="1" x14ac:dyDescent="0.2">
      <c r="A216" s="507"/>
      <c r="E216" s="160"/>
      <c r="F216" s="160"/>
      <c r="G216" s="160"/>
      <c r="L216" s="160"/>
    </row>
    <row r="217" spans="1:12" s="158" customFormat="1" x14ac:dyDescent="0.2">
      <c r="A217" s="507"/>
      <c r="E217" s="160"/>
      <c r="F217" s="160"/>
      <c r="G217" s="160"/>
      <c r="L217" s="160"/>
    </row>
    <row r="218" spans="1:12" s="158" customFormat="1" x14ac:dyDescent="0.2">
      <c r="A218" s="507"/>
      <c r="E218" s="160"/>
      <c r="F218" s="160"/>
      <c r="G218" s="160"/>
      <c r="L218" s="160"/>
    </row>
    <row r="219" spans="1:12" s="158" customFormat="1" x14ac:dyDescent="0.2">
      <c r="A219" s="507"/>
      <c r="E219" s="160"/>
      <c r="F219" s="160"/>
      <c r="G219" s="160"/>
      <c r="L219" s="160"/>
    </row>
    <row r="220" spans="1:12" s="158" customFormat="1" x14ac:dyDescent="0.2">
      <c r="A220" s="507"/>
      <c r="E220" s="160"/>
      <c r="F220" s="160"/>
      <c r="G220" s="160"/>
      <c r="L220" s="160"/>
    </row>
    <row r="221" spans="1:12" s="158" customFormat="1" x14ac:dyDescent="0.2">
      <c r="A221" s="507"/>
      <c r="E221" s="160"/>
      <c r="F221" s="160"/>
      <c r="G221" s="160"/>
      <c r="L221" s="160"/>
    </row>
    <row r="222" spans="1:12" s="158" customFormat="1" x14ac:dyDescent="0.2">
      <c r="A222" s="507"/>
      <c r="E222" s="160"/>
      <c r="F222" s="160"/>
      <c r="G222" s="160"/>
      <c r="L222" s="160"/>
    </row>
    <row r="223" spans="1:12" s="158" customFormat="1" x14ac:dyDescent="0.2">
      <c r="A223" s="507"/>
      <c r="E223" s="160"/>
      <c r="F223" s="160"/>
      <c r="G223" s="160"/>
      <c r="L223" s="160"/>
    </row>
    <row r="224" spans="1:12" s="158" customFormat="1" x14ac:dyDescent="0.2">
      <c r="A224" s="507"/>
      <c r="E224" s="160"/>
      <c r="F224" s="160"/>
      <c r="G224" s="160"/>
      <c r="L224" s="160"/>
    </row>
    <row r="225" spans="1:12" s="158" customFormat="1" x14ac:dyDescent="0.2">
      <c r="A225" s="507"/>
      <c r="E225" s="160"/>
      <c r="F225" s="160"/>
      <c r="G225" s="160"/>
      <c r="L225" s="160"/>
    </row>
    <row r="226" spans="1:12" s="158" customFormat="1" x14ac:dyDescent="0.2">
      <c r="A226" s="507"/>
      <c r="E226" s="160"/>
      <c r="F226" s="160"/>
      <c r="G226" s="160"/>
      <c r="L226" s="160"/>
    </row>
    <row r="227" spans="1:12" s="158" customFormat="1" x14ac:dyDescent="0.2">
      <c r="A227" s="507"/>
      <c r="E227" s="160"/>
      <c r="F227" s="160"/>
      <c r="G227" s="160"/>
      <c r="L227" s="160"/>
    </row>
    <row r="228" spans="1:12" s="158" customFormat="1" x14ac:dyDescent="0.2">
      <c r="A228" s="507"/>
      <c r="E228" s="160"/>
      <c r="F228" s="160"/>
      <c r="G228" s="160"/>
      <c r="L228" s="160"/>
    </row>
    <row r="229" spans="1:12" s="158" customFormat="1" x14ac:dyDescent="0.2">
      <c r="A229" s="507"/>
      <c r="E229" s="160"/>
      <c r="F229" s="160"/>
      <c r="G229" s="160"/>
      <c r="L229" s="160"/>
    </row>
    <row r="230" spans="1:12" s="158" customFormat="1" x14ac:dyDescent="0.2">
      <c r="A230" s="507"/>
      <c r="E230" s="160"/>
      <c r="F230" s="160"/>
      <c r="G230" s="160"/>
      <c r="L230" s="160"/>
    </row>
    <row r="231" spans="1:12" s="158" customFormat="1" x14ac:dyDescent="0.2">
      <c r="A231" s="507"/>
      <c r="E231" s="160"/>
      <c r="F231" s="160"/>
      <c r="G231" s="160"/>
      <c r="L231" s="160"/>
    </row>
    <row r="232" spans="1:12" s="158" customFormat="1" x14ac:dyDescent="0.2">
      <c r="A232" s="507"/>
      <c r="E232" s="160"/>
      <c r="F232" s="160"/>
      <c r="G232" s="160"/>
      <c r="L232" s="160"/>
    </row>
    <row r="233" spans="1:12" s="158" customFormat="1" x14ac:dyDescent="0.2">
      <c r="A233" s="507"/>
      <c r="E233" s="160"/>
      <c r="F233" s="160"/>
      <c r="G233" s="160"/>
      <c r="L233" s="160"/>
    </row>
    <row r="234" spans="1:12" s="158" customFormat="1" x14ac:dyDescent="0.2">
      <c r="A234" s="507"/>
      <c r="E234" s="160"/>
      <c r="F234" s="160"/>
      <c r="G234" s="160"/>
      <c r="L234" s="160"/>
    </row>
    <row r="235" spans="1:12" s="158" customFormat="1" x14ac:dyDescent="0.2">
      <c r="A235" s="507"/>
      <c r="E235" s="160"/>
      <c r="F235" s="160"/>
      <c r="G235" s="160"/>
      <c r="L235" s="160"/>
    </row>
    <row r="236" spans="1:12" s="158" customFormat="1" x14ac:dyDescent="0.2">
      <c r="A236" s="507"/>
      <c r="E236" s="160"/>
      <c r="F236" s="160"/>
      <c r="G236" s="160"/>
      <c r="L236" s="160"/>
    </row>
    <row r="237" spans="1:12" s="158" customFormat="1" x14ac:dyDescent="0.2">
      <c r="A237" s="507"/>
      <c r="E237" s="160"/>
      <c r="F237" s="160"/>
      <c r="G237" s="160"/>
      <c r="L237" s="160"/>
    </row>
    <row r="238" spans="1:12" s="158" customFormat="1" x14ac:dyDescent="0.2">
      <c r="A238" s="507"/>
      <c r="E238" s="160"/>
      <c r="F238" s="160"/>
      <c r="G238" s="160"/>
      <c r="L238" s="160"/>
    </row>
    <row r="239" spans="1:12" s="158" customFormat="1" x14ac:dyDescent="0.2">
      <c r="A239" s="507"/>
      <c r="E239" s="160"/>
      <c r="F239" s="160"/>
      <c r="G239" s="160"/>
      <c r="L239" s="160"/>
    </row>
    <row r="240" spans="1:12" s="158" customFormat="1" x14ac:dyDescent="0.2">
      <c r="A240" s="507"/>
      <c r="E240" s="160"/>
      <c r="F240" s="160"/>
      <c r="G240" s="160"/>
      <c r="L240" s="160"/>
    </row>
    <row r="241" spans="1:12" s="158" customFormat="1" x14ac:dyDescent="0.2">
      <c r="A241" s="507"/>
      <c r="E241" s="160"/>
      <c r="F241" s="160"/>
      <c r="G241" s="160"/>
      <c r="L241" s="160"/>
    </row>
    <row r="242" spans="1:12" s="158" customFormat="1" x14ac:dyDescent="0.2">
      <c r="A242" s="507"/>
      <c r="E242" s="160"/>
      <c r="F242" s="160"/>
      <c r="G242" s="160"/>
      <c r="L242" s="160"/>
    </row>
    <row r="243" spans="1:12" s="158" customFormat="1" x14ac:dyDescent="0.2">
      <c r="A243" s="507"/>
      <c r="E243" s="160"/>
      <c r="F243" s="160"/>
      <c r="G243" s="160"/>
      <c r="L243" s="160"/>
    </row>
    <row r="244" spans="1:12" s="158" customFormat="1" x14ac:dyDescent="0.2">
      <c r="A244" s="507"/>
      <c r="E244" s="160"/>
      <c r="F244" s="160"/>
      <c r="G244" s="160"/>
      <c r="L244" s="160"/>
    </row>
  </sheetData>
  <sheetProtection password="E421" sheet="1" objects="1" scenarios="1"/>
  <mergeCells count="251">
    <mergeCell ref="B98:I98"/>
    <mergeCell ref="E130:N130"/>
    <mergeCell ref="E122:N122"/>
    <mergeCell ref="B116:C116"/>
    <mergeCell ref="B115:C115"/>
    <mergeCell ref="E113:N113"/>
    <mergeCell ref="B173:E174"/>
    <mergeCell ref="E109:F109"/>
    <mergeCell ref="J139:M140"/>
    <mergeCell ref="I149:N151"/>
    <mergeCell ref="B176:E176"/>
    <mergeCell ref="B177:E177"/>
    <mergeCell ref="B178:E178"/>
    <mergeCell ref="B179:E179"/>
    <mergeCell ref="B180:E180"/>
    <mergeCell ref="B181:E181"/>
    <mergeCell ref="B112:C113"/>
    <mergeCell ref="B147:G149"/>
    <mergeCell ref="B140:G141"/>
    <mergeCell ref="E112:N112"/>
    <mergeCell ref="B163:F163"/>
    <mergeCell ref="D79:K79"/>
    <mergeCell ref="B78:C78"/>
    <mergeCell ref="B72:C72"/>
    <mergeCell ref="B74:C74"/>
    <mergeCell ref="B26:C26"/>
    <mergeCell ref="D69:G69"/>
    <mergeCell ref="H69:K69"/>
    <mergeCell ref="B57:C57"/>
    <mergeCell ref="B61:C61"/>
    <mergeCell ref="B52:C52"/>
    <mergeCell ref="B53:C53"/>
    <mergeCell ref="D53:G53"/>
    <mergeCell ref="B54:C54"/>
    <mergeCell ref="D54:G54"/>
    <mergeCell ref="H44:K44"/>
    <mergeCell ref="B50:C50"/>
    <mergeCell ref="H30:K30"/>
    <mergeCell ref="D41:G41"/>
    <mergeCell ref="D42:G42"/>
    <mergeCell ref="B41:C41"/>
    <mergeCell ref="B42:C42"/>
    <mergeCell ref="B63:C63"/>
    <mergeCell ref="B67:C67"/>
    <mergeCell ref="H72:K72"/>
    <mergeCell ref="B68:C68"/>
    <mergeCell ref="D57:G57"/>
    <mergeCell ref="D66:G66"/>
    <mergeCell ref="D68:G68"/>
    <mergeCell ref="H68:K68"/>
    <mergeCell ref="D56:G56"/>
    <mergeCell ref="H56:K56"/>
    <mergeCell ref="B60:C60"/>
    <mergeCell ref="B65:C65"/>
    <mergeCell ref="D65:G65"/>
    <mergeCell ref="B62:C62"/>
    <mergeCell ref="B56:C56"/>
    <mergeCell ref="H64:K64"/>
    <mergeCell ref="L16:L24"/>
    <mergeCell ref="B81:C81"/>
    <mergeCell ref="B86:C86"/>
    <mergeCell ref="B90:C90"/>
    <mergeCell ref="H66:K66"/>
    <mergeCell ref="D61:G61"/>
    <mergeCell ref="H61:K61"/>
    <mergeCell ref="D62:G62"/>
    <mergeCell ref="H52:K52"/>
    <mergeCell ref="H53:K53"/>
    <mergeCell ref="H62:K62"/>
    <mergeCell ref="H65:K65"/>
    <mergeCell ref="H57:K57"/>
    <mergeCell ref="D58:G58"/>
    <mergeCell ref="H58:K58"/>
    <mergeCell ref="D59:G59"/>
    <mergeCell ref="H59:K59"/>
    <mergeCell ref="D64:G64"/>
    <mergeCell ref="H63:K63"/>
    <mergeCell ref="D55:G55"/>
    <mergeCell ref="H55:K55"/>
    <mergeCell ref="B66:C66"/>
    <mergeCell ref="B58:C58"/>
    <mergeCell ref="D85:G85"/>
    <mergeCell ref="H85:K85"/>
    <mergeCell ref="B84:C84"/>
    <mergeCell ref="D84:K84"/>
    <mergeCell ref="L30:L33"/>
    <mergeCell ref="D73:G73"/>
    <mergeCell ref="H73:K73"/>
    <mergeCell ref="B73:C73"/>
    <mergeCell ref="B69:C69"/>
    <mergeCell ref="B36:C36"/>
    <mergeCell ref="B39:C39"/>
    <mergeCell ref="D43:G43"/>
    <mergeCell ref="D63:G63"/>
    <mergeCell ref="D49:G49"/>
    <mergeCell ref="H49:K49"/>
    <mergeCell ref="D48:G48"/>
    <mergeCell ref="H48:K48"/>
    <mergeCell ref="D72:G72"/>
    <mergeCell ref="D67:G67"/>
    <mergeCell ref="H67:K67"/>
    <mergeCell ref="B70:C70"/>
    <mergeCell ref="B59:C59"/>
    <mergeCell ref="B64:C64"/>
    <mergeCell ref="B55:C55"/>
    <mergeCell ref="H54:K54"/>
    <mergeCell ref="B96:L96"/>
    <mergeCell ref="B91:C91"/>
    <mergeCell ref="D91:G91"/>
    <mergeCell ref="H91:K91"/>
    <mergeCell ref="B87:C87"/>
    <mergeCell ref="D87:G87"/>
    <mergeCell ref="H87:K87"/>
    <mergeCell ref="B88:C88"/>
    <mergeCell ref="D88:G88"/>
    <mergeCell ref="H88:K88"/>
    <mergeCell ref="B92:C92"/>
    <mergeCell ref="D92:G92"/>
    <mergeCell ref="H92:K92"/>
    <mergeCell ref="D94:K94"/>
    <mergeCell ref="D93:G93"/>
    <mergeCell ref="H93:K93"/>
    <mergeCell ref="B89:C89"/>
    <mergeCell ref="D89:G89"/>
    <mergeCell ref="H89:K89"/>
    <mergeCell ref="B93:C93"/>
    <mergeCell ref="B33:C33"/>
    <mergeCell ref="D46:G46"/>
    <mergeCell ref="B46:C46"/>
    <mergeCell ref="H43:K43"/>
    <mergeCell ref="H45:K45"/>
    <mergeCell ref="H31:K31"/>
    <mergeCell ref="H33:K33"/>
    <mergeCell ref="D39:G39"/>
    <mergeCell ref="H36:K36"/>
    <mergeCell ref="D38:G38"/>
    <mergeCell ref="H38:K38"/>
    <mergeCell ref="H37:K37"/>
    <mergeCell ref="H39:K39"/>
    <mergeCell ref="D35:G35"/>
    <mergeCell ref="H35:K35"/>
    <mergeCell ref="D44:G44"/>
    <mergeCell ref="B34:C34"/>
    <mergeCell ref="H15:K15"/>
    <mergeCell ref="D12:K12"/>
    <mergeCell ref="H10:K10"/>
    <mergeCell ref="B30:C30"/>
    <mergeCell ref="D32:G32"/>
    <mergeCell ref="H32:K32"/>
    <mergeCell ref="B31:C31"/>
    <mergeCell ref="D10:G10"/>
    <mergeCell ref="B11:C11"/>
    <mergeCell ref="D11:K11"/>
    <mergeCell ref="D27:G27"/>
    <mergeCell ref="H27:K27"/>
    <mergeCell ref="D9:G9"/>
    <mergeCell ref="B8:C8"/>
    <mergeCell ref="H14:K14"/>
    <mergeCell ref="H47:K47"/>
    <mergeCell ref="B24:C24"/>
    <mergeCell ref="B25:C25"/>
    <mergeCell ref="B22:C22"/>
    <mergeCell ref="H29:K29"/>
    <mergeCell ref="B23:C23"/>
    <mergeCell ref="B29:C29"/>
    <mergeCell ref="H9:K9"/>
    <mergeCell ref="B9:C9"/>
    <mergeCell ref="B10:C10"/>
    <mergeCell ref="B21:C21"/>
    <mergeCell ref="B16:C16"/>
    <mergeCell ref="B19:C19"/>
    <mergeCell ref="B20:C20"/>
    <mergeCell ref="B17:C17"/>
    <mergeCell ref="B18:C18"/>
    <mergeCell ref="B12:C12"/>
    <mergeCell ref="B13:C13"/>
    <mergeCell ref="D13:K13"/>
    <mergeCell ref="B15:C15"/>
    <mergeCell ref="D15:G15"/>
    <mergeCell ref="D52:G52"/>
    <mergeCell ref="B1:D1"/>
    <mergeCell ref="E1:K1"/>
    <mergeCell ref="D36:G36"/>
    <mergeCell ref="D37:G37"/>
    <mergeCell ref="B14:C14"/>
    <mergeCell ref="D14:G14"/>
    <mergeCell ref="D28:G28"/>
    <mergeCell ref="D40:G40"/>
    <mergeCell ref="D29:G29"/>
    <mergeCell ref="D30:G30"/>
    <mergeCell ref="D31:G31"/>
    <mergeCell ref="D33:G33"/>
    <mergeCell ref="B32:C32"/>
    <mergeCell ref="B38:C38"/>
    <mergeCell ref="B37:C37"/>
    <mergeCell ref="H28:K28"/>
    <mergeCell ref="B28:C28"/>
    <mergeCell ref="B35:C35"/>
    <mergeCell ref="H40:K40"/>
    <mergeCell ref="B3:K3"/>
    <mergeCell ref="B4:K4"/>
    <mergeCell ref="H8:K8"/>
    <mergeCell ref="D8:G8"/>
    <mergeCell ref="B85:C85"/>
    <mergeCell ref="L38:L39"/>
    <mergeCell ref="L46:L49"/>
    <mergeCell ref="L56:L59"/>
    <mergeCell ref="L66:L69"/>
    <mergeCell ref="B44:C44"/>
    <mergeCell ref="H46:K46"/>
    <mergeCell ref="H51:K51"/>
    <mergeCell ref="D51:G51"/>
    <mergeCell ref="B51:C51"/>
    <mergeCell ref="D50:G50"/>
    <mergeCell ref="H50:K50"/>
    <mergeCell ref="D60:G60"/>
    <mergeCell ref="H60:K60"/>
    <mergeCell ref="B43:C43"/>
    <mergeCell ref="H41:K41"/>
    <mergeCell ref="H42:K42"/>
    <mergeCell ref="B45:C45"/>
    <mergeCell ref="D45:G45"/>
    <mergeCell ref="B49:C49"/>
    <mergeCell ref="B48:C48"/>
    <mergeCell ref="B47:C47"/>
    <mergeCell ref="D47:G47"/>
    <mergeCell ref="B40:C40"/>
    <mergeCell ref="L28:L29"/>
    <mergeCell ref="B195:K196"/>
    <mergeCell ref="B198:K199"/>
    <mergeCell ref="B197:K197"/>
    <mergeCell ref="D70:G70"/>
    <mergeCell ref="H70:K70"/>
    <mergeCell ref="B76:C76"/>
    <mergeCell ref="D76:K76"/>
    <mergeCell ref="B77:C77"/>
    <mergeCell ref="D77:K77"/>
    <mergeCell ref="B75:C75"/>
    <mergeCell ref="B83:C83"/>
    <mergeCell ref="B82:C82"/>
    <mergeCell ref="D82:G82"/>
    <mergeCell ref="H82:K82"/>
    <mergeCell ref="D83:G83"/>
    <mergeCell ref="H83:K83"/>
    <mergeCell ref="B80:C80"/>
    <mergeCell ref="D80:K80"/>
    <mergeCell ref="D71:G71"/>
    <mergeCell ref="D74:G74"/>
    <mergeCell ref="H74:K74"/>
    <mergeCell ref="H71:K71"/>
    <mergeCell ref="B79:C79"/>
  </mergeCells>
  <conditionalFormatting sqref="H88 H81 D81 D76 D83:K84 E1:K1 D46:K49 D56:K59 D66:K69 H91:K92 D32:K33 D79:K79">
    <cfRule type="cellIs" dxfId="486" priority="114" operator="lessThan">
      <formula>0.00001</formula>
    </cfRule>
  </conditionalFormatting>
  <conditionalFormatting sqref="I94:I97 E73:G75 H72:H75 F123:K129 F99:F108 I92:L92 D142:G146 B93 G99:I111 J94:K111 F110:F111 F114:K121 D150:F162 H131:H195 G150:G195 F131:G139 D99:E139 D81:D92 D93:H97 E81:H83 I131:K137 D72:D78 B94:K94 D39:K39 I73:K73 D72:H73 L77 D33:K33 D74:K78 D81:K82 D85:K93 D164:F195 G163:I172 I160:K195">
    <cfRule type="containsErrors" dxfId="485" priority="77">
      <formula>ISERROR(B33)</formula>
    </cfRule>
  </conditionalFormatting>
  <conditionalFormatting sqref="H81 D81 D83:K84 D11:K13 D79:K79">
    <cfRule type="cellIs" dxfId="484" priority="108" operator="lessThan">
      <formula>0.0001</formula>
    </cfRule>
  </conditionalFormatting>
  <conditionalFormatting sqref="H88 H81 D81 D83:K84 D67:K69 D57:K59 H91:K92 D47:K49 D79:K79">
    <cfRule type="cellIs" priority="101" operator="lessThan">
      <formula>0.00001</formula>
    </cfRule>
  </conditionalFormatting>
  <conditionalFormatting sqref="H88 D11:K13 H91:K92">
    <cfRule type="cellIs" dxfId="483" priority="98" operator="lessThan">
      <formula>0.000001</formula>
    </cfRule>
  </conditionalFormatting>
  <conditionalFormatting sqref="D38:K39">
    <cfRule type="cellIs" dxfId="482" priority="95" operator="lessThan">
      <formula>0.00001</formula>
    </cfRule>
  </conditionalFormatting>
  <conditionalFormatting sqref="L92 L77">
    <cfRule type="cellIs" dxfId="481" priority="90" operator="greaterThan">
      <formula>$G$35</formula>
    </cfRule>
  </conditionalFormatting>
  <conditionalFormatting sqref="H85:K85">
    <cfRule type="cellIs" dxfId="480" priority="110" operator="greaterThan">
      <formula>$D$85</formula>
    </cfRule>
  </conditionalFormatting>
  <conditionalFormatting sqref="D80:K80">
    <cfRule type="cellIs" dxfId="479" priority="9" operator="lessThan">
      <formula>0.00001</formula>
    </cfRule>
  </conditionalFormatting>
  <conditionalFormatting sqref="D80:K80">
    <cfRule type="cellIs" dxfId="478" priority="8" operator="lessThan">
      <formula>0.0001</formula>
    </cfRule>
  </conditionalFormatting>
  <conditionalFormatting sqref="D80:K80">
    <cfRule type="cellIs" priority="7" operator="lessThan">
      <formula>0.00001</formula>
    </cfRule>
  </conditionalFormatting>
  <conditionalFormatting sqref="D80:K80">
    <cfRule type="cellIs" dxfId="477" priority="6" operator="lessThan">
      <formula>0.00001</formula>
    </cfRule>
  </conditionalFormatting>
  <conditionalFormatting sqref="D80:K80">
    <cfRule type="cellIs" dxfId="476" priority="5" operator="lessThan">
      <formula>0.0001</formula>
    </cfRule>
  </conditionalFormatting>
  <conditionalFormatting sqref="D80:K80">
    <cfRule type="cellIs" priority="4" operator="lessThan">
      <formula>0.00001</formula>
    </cfRule>
  </conditionalFormatting>
  <conditionalFormatting sqref="D80:K80">
    <cfRule type="cellIs" dxfId="475" priority="3" operator="lessThan">
      <formula>0.00001</formula>
    </cfRule>
  </conditionalFormatting>
  <conditionalFormatting sqref="D80:K80">
    <cfRule type="cellIs" dxfId="474" priority="2" operator="lessThan">
      <formula>0.0001</formula>
    </cfRule>
  </conditionalFormatting>
  <conditionalFormatting sqref="D80:K80">
    <cfRule type="cellIs" priority="1" operator="lessThan">
      <formula>0.00001</formula>
    </cfRule>
  </conditionalFormatting>
  <dataValidations count="3">
    <dataValidation type="list" allowBlank="1" showInputMessage="1" showErrorMessage="1" sqref="D31 H31" xr:uid="{00000000-0002-0000-0300-000000000000}">
      <formula1>$B$143:$B$145</formula1>
    </dataValidation>
    <dataValidation type="list" allowBlank="1" showInputMessage="1" showErrorMessage="1" sqref="D37:K37" xr:uid="{00000000-0002-0000-0300-000001000000}">
      <formula1>$B$159:$B$160</formula1>
    </dataValidation>
    <dataValidation type="list" allowBlank="1" showInputMessage="1" showErrorMessage="1" sqref="D45:K45 D55:K55 D65:K65" xr:uid="{00000000-0002-0000-0300-000002000000}">
      <formula1>$B$151:$B$156</formula1>
    </dataValidation>
  </dataValidations>
  <hyperlinks>
    <hyperlink ref="L12" location="PPT" display="From Site Data" xr:uid="{00000000-0004-0000-0300-000000000000}"/>
    <hyperlink ref="L38" location="VELOCITY" display="See Shallow Flow Calculations" xr:uid="{00000000-0004-0000-0300-000001000000}"/>
    <hyperlink ref="L46" location="mannings_channel" display="See Channel Flow" xr:uid="{00000000-0004-0000-0300-000002000000}"/>
    <hyperlink ref="L38:L39" location="SHALLOW" display="See Shallow Flow Calculations" xr:uid="{00000000-0004-0000-0300-000003000000}"/>
    <hyperlink ref="L46:L49" location="CHANNEL" display="See Open Channel Flow" xr:uid="{00000000-0004-0000-0300-000004000000}"/>
    <hyperlink ref="L56" location="mannings_channel" display="See Channel Flow" xr:uid="{00000000-0004-0000-0300-000005000000}"/>
    <hyperlink ref="L56:L59" location="CHANNEL" display="See Open Channel Flow" xr:uid="{00000000-0004-0000-0300-000006000000}"/>
    <hyperlink ref="L66" location="mannings_channel" display="See Channel Flow" xr:uid="{00000000-0004-0000-0300-000007000000}"/>
    <hyperlink ref="L66:L69" location="CHANNEL" display="See Open Channel Flow" xr:uid="{00000000-0004-0000-0300-000008000000}"/>
    <hyperlink ref="L30:L33" location="SHEET" display="See Sheet Flow Calculations" xr:uid="{00000000-0004-0000-0300-000009000000}"/>
    <hyperlink ref="L74" location="WCN" display="See Weighted Curve Number" xr:uid="{00000000-0004-0000-0300-00000A000000}"/>
    <hyperlink ref="L70" location="Tc" display="See Tc" xr:uid="{00000000-0004-0000-0300-00000B000000}"/>
    <hyperlink ref="L16:L24" location="WCN" display="See Weighted Curve Number" xr:uid="{00000000-0004-0000-0300-00000C000000}"/>
    <hyperlink ref="L82" location="SCS" display="See SCS Runoff Method" xr:uid="{00000000-0004-0000-0300-00000D000000}"/>
    <hyperlink ref="L79" location="hd" display="See Discrete Runoff Method" xr:uid="{00000000-0004-0000-0300-00000E000000}"/>
    <hyperlink ref="L87" location="SCS" display="See SCS Runoff Method" xr:uid="{00000000-0004-0000-0300-00000F000000}"/>
    <hyperlink ref="L91" location="SCS" display="See SCS Runoff Method" xr:uid="{00000000-0004-0000-0300-000010000000}"/>
    <hyperlink ref="L85" location="PEAK" display="See Peak Flow Calculations" xr:uid="{00000000-0004-0000-0300-000011000000}"/>
    <hyperlink ref="L89" location="PEAK" display="See Peak Flow Calculations" xr:uid="{00000000-0004-0000-0300-000012000000}"/>
    <hyperlink ref="L76" location="Disconnected" display="See Disconnected Impervious Calculation" xr:uid="{00000000-0004-0000-0300-000013000000}"/>
    <hyperlink ref="B195:K196" location="'DA2'!A1" display="CLICK TO ADD ANOTHER DRAINAGE AREA" xr:uid="{00000000-0004-0000-0300-000014000000}"/>
    <hyperlink ref="B198:K199" location="'SITE SUMMARY'!A1" display="CONTINUE TO SITE SUMMARY" xr:uid="{00000000-0004-0000-0300-000015000000}"/>
    <hyperlink ref="L80" location="hd" display="See Discrete Runoff Method" xr:uid="{00000000-0004-0000-0300-000016000000}"/>
  </hyperlinks>
  <printOptions horizontalCentered="1"/>
  <pageMargins left="0.7" right="0.7" top="0.75" bottom="0.75" header="0.3" footer="0.3"/>
  <pageSetup scale="54" fitToHeight="2" orientation="portrait" copies="5" r:id="rId1"/>
  <headerFooter>
    <oddFooter>&amp;A&amp;RPage &amp;P</oddFooter>
  </headerFooter>
  <rowBreaks count="1" manualBreakCount="1">
    <brk id="49" min="1" max="10" man="1"/>
  </rowBreaks>
  <ignoredErrors>
    <ignoredError sqref="D74 H74 D77" evalError="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AA244"/>
  <sheetViews>
    <sheetView showRowColHeaders="0" zoomScale="85" zoomScaleNormal="85" workbookViewId="0">
      <selection activeCell="H37" sqref="H37:K37"/>
    </sheetView>
  </sheetViews>
  <sheetFormatPr defaultRowHeight="15" x14ac:dyDescent="0.2"/>
  <cols>
    <col min="1" max="1" width="3.77734375" style="507" customWidth="1"/>
    <col min="2" max="2" width="25.6640625" style="161" customWidth="1"/>
    <col min="3" max="3" width="17.33203125" style="161" customWidth="1"/>
    <col min="4" max="4" width="8.6640625" style="161" customWidth="1"/>
    <col min="5" max="7" width="8.6640625" style="223" customWidth="1"/>
    <col min="8" max="11" width="8.6640625" style="161" customWidth="1"/>
    <col min="12" max="12" width="37.109375" style="160" bestFit="1" customWidth="1"/>
    <col min="13" max="27" width="8.88671875" style="507"/>
    <col min="28" max="16384" width="8.88671875" style="161"/>
  </cols>
  <sheetData>
    <row r="1" spans="2:12" ht="16.5" thickBot="1" x14ac:dyDescent="0.3">
      <c r="B1" s="787" t="s">
        <v>31</v>
      </c>
      <c r="C1" s="787"/>
      <c r="D1" s="787"/>
      <c r="E1" s="788">
        <f>'SITE DATA'!F9</f>
        <v>0</v>
      </c>
      <c r="F1" s="789"/>
      <c r="G1" s="789"/>
      <c r="H1" s="789"/>
      <c r="I1" s="789"/>
      <c r="J1" s="789"/>
      <c r="K1" s="790"/>
    </row>
    <row r="2" spans="2:12" x14ac:dyDescent="0.2">
      <c r="B2" s="507"/>
      <c r="C2" s="507"/>
      <c r="D2" s="507"/>
      <c r="E2" s="160"/>
      <c r="F2" s="160"/>
      <c r="G2" s="160"/>
      <c r="H2" s="507"/>
      <c r="I2" s="507"/>
      <c r="J2" s="507"/>
      <c r="K2" s="507"/>
    </row>
    <row r="3" spans="2:12" ht="18" x14ac:dyDescent="0.25">
      <c r="B3" s="797" t="s">
        <v>401</v>
      </c>
      <c r="C3" s="797"/>
      <c r="D3" s="797"/>
      <c r="E3" s="797"/>
      <c r="F3" s="797"/>
      <c r="G3" s="797"/>
      <c r="H3" s="797"/>
      <c r="I3" s="797"/>
      <c r="J3" s="797"/>
      <c r="K3" s="797"/>
      <c r="L3" s="162"/>
    </row>
    <row r="4" spans="2:12" ht="18" x14ac:dyDescent="0.25">
      <c r="B4" s="797" t="s">
        <v>8</v>
      </c>
      <c r="C4" s="797"/>
      <c r="D4" s="797"/>
      <c r="E4" s="797"/>
      <c r="F4" s="797"/>
      <c r="G4" s="797"/>
      <c r="H4" s="797"/>
      <c r="I4" s="797"/>
      <c r="J4" s="797"/>
      <c r="K4" s="797"/>
      <c r="L4" s="162"/>
    </row>
    <row r="5" spans="2:12" x14ac:dyDescent="0.2">
      <c r="B5" s="507"/>
      <c r="C5" s="507"/>
      <c r="D5" s="507"/>
      <c r="E5" s="160"/>
      <c r="F5" s="160"/>
      <c r="G5" s="160"/>
      <c r="H5" s="507"/>
      <c r="I5" s="507"/>
      <c r="J5" s="507"/>
      <c r="K5" s="507"/>
    </row>
    <row r="6" spans="2:12" x14ac:dyDescent="0.2">
      <c r="B6" s="507"/>
      <c r="C6" s="507"/>
      <c r="D6" s="507"/>
      <c r="E6" s="160"/>
      <c r="F6" s="160"/>
      <c r="G6" s="160"/>
      <c r="H6" s="507"/>
      <c r="I6" s="507"/>
      <c r="J6" s="507"/>
      <c r="K6" s="507"/>
    </row>
    <row r="7" spans="2:12" ht="15.75" thickBot="1" x14ac:dyDescent="0.25">
      <c r="B7" s="507"/>
      <c r="C7" s="507"/>
      <c r="D7" s="507"/>
      <c r="E7" s="160"/>
      <c r="F7" s="160"/>
      <c r="G7" s="160"/>
      <c r="H7" s="507"/>
      <c r="I7" s="507"/>
      <c r="J7" s="507"/>
      <c r="K7" s="507"/>
    </row>
    <row r="8" spans="2:12" ht="24.95" customHeight="1" thickTop="1" thickBot="1" x14ac:dyDescent="0.3">
      <c r="B8" s="801" t="s">
        <v>263</v>
      </c>
      <c r="C8" s="802"/>
      <c r="D8" s="798" t="s">
        <v>9</v>
      </c>
      <c r="E8" s="798"/>
      <c r="F8" s="798"/>
      <c r="G8" s="798"/>
      <c r="H8" s="798" t="s">
        <v>30</v>
      </c>
      <c r="I8" s="798"/>
      <c r="J8" s="798"/>
      <c r="K8" s="798"/>
      <c r="L8" s="238" t="s">
        <v>319</v>
      </c>
    </row>
    <row r="9" spans="2:12" ht="24.95" customHeight="1" thickTop="1" x14ac:dyDescent="0.2">
      <c r="B9" s="754" t="s">
        <v>92</v>
      </c>
      <c r="C9" s="791"/>
      <c r="D9" s="799" t="s">
        <v>755</v>
      </c>
      <c r="E9" s="725"/>
      <c r="F9" s="725"/>
      <c r="G9" s="800"/>
      <c r="H9" s="774" t="s">
        <v>755</v>
      </c>
      <c r="I9" s="775"/>
      <c r="J9" s="775"/>
      <c r="K9" s="776"/>
      <c r="L9" s="163" t="s">
        <v>486</v>
      </c>
    </row>
    <row r="10" spans="2:12" ht="24.95" customHeight="1" x14ac:dyDescent="0.2">
      <c r="B10" s="754" t="s">
        <v>93</v>
      </c>
      <c r="C10" s="791"/>
      <c r="D10" s="799" t="s">
        <v>755</v>
      </c>
      <c r="E10" s="725"/>
      <c r="F10" s="725"/>
      <c r="G10" s="800"/>
      <c r="H10" s="799" t="s">
        <v>755</v>
      </c>
      <c r="I10" s="725"/>
      <c r="J10" s="725"/>
      <c r="K10" s="800"/>
      <c r="L10" s="163"/>
    </row>
    <row r="11" spans="2:12" ht="24.95" customHeight="1" x14ac:dyDescent="0.2">
      <c r="B11" s="754" t="s">
        <v>226</v>
      </c>
      <c r="C11" s="791"/>
      <c r="D11" s="803">
        <f>'SITE DATA'!$F$26</f>
        <v>0</v>
      </c>
      <c r="E11" s="683"/>
      <c r="F11" s="683"/>
      <c r="G11" s="683"/>
      <c r="H11" s="683"/>
      <c r="I11" s="683"/>
      <c r="J11" s="683"/>
      <c r="K11" s="804"/>
      <c r="L11" s="566"/>
    </row>
    <row r="12" spans="2:12" ht="24.95" customHeight="1" x14ac:dyDescent="0.2">
      <c r="B12" s="754" t="s">
        <v>329</v>
      </c>
      <c r="C12" s="791"/>
      <c r="D12" s="803">
        <f>'SITE DATA'!$F$27</f>
        <v>0</v>
      </c>
      <c r="E12" s="683"/>
      <c r="F12" s="683"/>
      <c r="G12" s="683"/>
      <c r="H12" s="683"/>
      <c r="I12" s="683"/>
      <c r="J12" s="683"/>
      <c r="K12" s="804"/>
      <c r="L12" s="566" t="s">
        <v>266</v>
      </c>
    </row>
    <row r="13" spans="2:12" ht="24.95" customHeight="1" x14ac:dyDescent="0.2">
      <c r="B13" s="754" t="s">
        <v>375</v>
      </c>
      <c r="C13" s="791"/>
      <c r="D13" s="803">
        <f>'SITE DATA'!$F$28</f>
        <v>0</v>
      </c>
      <c r="E13" s="683"/>
      <c r="F13" s="683"/>
      <c r="G13" s="683"/>
      <c r="H13" s="683"/>
      <c r="I13" s="683"/>
      <c r="J13" s="683"/>
      <c r="K13" s="804"/>
      <c r="L13" s="566"/>
    </row>
    <row r="14" spans="2:12" ht="24.95" customHeight="1" x14ac:dyDescent="0.2">
      <c r="B14" s="754" t="s">
        <v>307</v>
      </c>
      <c r="C14" s="791"/>
      <c r="D14" s="792" t="s">
        <v>755</v>
      </c>
      <c r="E14" s="793"/>
      <c r="F14" s="793"/>
      <c r="G14" s="793"/>
      <c r="H14" s="793" t="s">
        <v>755</v>
      </c>
      <c r="I14" s="793"/>
      <c r="J14" s="793"/>
      <c r="K14" s="793"/>
      <c r="L14" s="163"/>
    </row>
    <row r="15" spans="2:12" ht="24.95" customHeight="1" x14ac:dyDescent="0.2">
      <c r="B15" s="754" t="s">
        <v>306</v>
      </c>
      <c r="C15" s="791"/>
      <c r="D15" s="793" t="s">
        <v>755</v>
      </c>
      <c r="E15" s="793"/>
      <c r="F15" s="793"/>
      <c r="G15" s="793"/>
      <c r="H15" s="793" t="s">
        <v>755</v>
      </c>
      <c r="I15" s="793"/>
      <c r="J15" s="793"/>
      <c r="K15" s="793"/>
      <c r="L15" s="163"/>
    </row>
    <row r="16" spans="2:12" ht="24.95" customHeight="1" x14ac:dyDescent="0.2">
      <c r="B16" s="784" t="s">
        <v>487</v>
      </c>
      <c r="C16" s="785"/>
      <c r="D16" s="429" t="s">
        <v>15</v>
      </c>
      <c r="E16" s="430" t="s">
        <v>16</v>
      </c>
      <c r="F16" s="430" t="s">
        <v>18</v>
      </c>
      <c r="G16" s="431" t="s">
        <v>17</v>
      </c>
      <c r="H16" s="432" t="s">
        <v>15</v>
      </c>
      <c r="I16" s="430" t="s">
        <v>16</v>
      </c>
      <c r="J16" s="430" t="s">
        <v>18</v>
      </c>
      <c r="K16" s="431" t="s">
        <v>17</v>
      </c>
      <c r="L16" s="766" t="s">
        <v>177</v>
      </c>
    </row>
    <row r="17" spans="2:12" ht="24.95" customHeight="1" x14ac:dyDescent="0.2">
      <c r="B17" s="754" t="s">
        <v>12</v>
      </c>
      <c r="C17" s="791"/>
      <c r="D17" s="428"/>
      <c r="E17" s="416"/>
      <c r="F17" s="416" t="s">
        <v>755</v>
      </c>
      <c r="G17" s="427"/>
      <c r="H17" s="428"/>
      <c r="I17" s="416"/>
      <c r="J17" s="416" t="s">
        <v>755</v>
      </c>
      <c r="K17" s="427"/>
      <c r="L17" s="766"/>
    </row>
    <row r="18" spans="2:12" ht="24.95" customHeight="1" x14ac:dyDescent="0.2">
      <c r="B18" s="754" t="s">
        <v>253</v>
      </c>
      <c r="C18" s="791"/>
      <c r="D18" s="428"/>
      <c r="E18" s="416"/>
      <c r="F18" s="416"/>
      <c r="G18" s="427"/>
      <c r="H18" s="428"/>
      <c r="I18" s="416"/>
      <c r="J18" s="416"/>
      <c r="K18" s="427"/>
      <c r="L18" s="766"/>
    </row>
    <row r="19" spans="2:12" ht="24.95" customHeight="1" x14ac:dyDescent="0.2">
      <c r="B19" s="754" t="s">
        <v>260</v>
      </c>
      <c r="C19" s="791"/>
      <c r="D19" s="428"/>
      <c r="E19" s="416"/>
      <c r="F19" s="416"/>
      <c r="G19" s="427"/>
      <c r="H19" s="428"/>
      <c r="I19" s="416"/>
      <c r="J19" s="416"/>
      <c r="K19" s="427"/>
      <c r="L19" s="766"/>
    </row>
    <row r="20" spans="2:12" ht="24.95" customHeight="1" x14ac:dyDescent="0.2">
      <c r="B20" s="754" t="s">
        <v>259</v>
      </c>
      <c r="C20" s="791"/>
      <c r="D20" s="428"/>
      <c r="E20" s="416"/>
      <c r="F20" s="416"/>
      <c r="G20" s="427"/>
      <c r="H20" s="428"/>
      <c r="I20" s="416"/>
      <c r="J20" s="416"/>
      <c r="K20" s="427"/>
      <c r="L20" s="766"/>
    </row>
    <row r="21" spans="2:12" ht="24.95" customHeight="1" x14ac:dyDescent="0.2">
      <c r="B21" s="754" t="s">
        <v>255</v>
      </c>
      <c r="C21" s="791"/>
      <c r="D21" s="428"/>
      <c r="E21" s="416"/>
      <c r="F21" s="416"/>
      <c r="G21" s="427"/>
      <c r="H21" s="428"/>
      <c r="I21" s="416"/>
      <c r="J21" s="416"/>
      <c r="K21" s="427"/>
      <c r="L21" s="766"/>
    </row>
    <row r="22" spans="2:12" ht="24.95" customHeight="1" x14ac:dyDescent="0.2">
      <c r="B22" s="754" t="s">
        <v>262</v>
      </c>
      <c r="C22" s="791"/>
      <c r="D22" s="428"/>
      <c r="E22" s="416"/>
      <c r="F22" s="416"/>
      <c r="G22" s="427"/>
      <c r="H22" s="428"/>
      <c r="I22" s="416"/>
      <c r="J22" s="416"/>
      <c r="K22" s="427"/>
      <c r="L22" s="766"/>
    </row>
    <row r="23" spans="2:12" ht="24.95" customHeight="1" x14ac:dyDescent="0.2">
      <c r="B23" s="754" t="s">
        <v>261</v>
      </c>
      <c r="C23" s="791"/>
      <c r="D23" s="428"/>
      <c r="E23" s="416"/>
      <c r="F23" s="416"/>
      <c r="G23" s="427"/>
      <c r="H23" s="428"/>
      <c r="I23" s="416"/>
      <c r="J23" s="416"/>
      <c r="K23" s="427"/>
      <c r="L23" s="766"/>
    </row>
    <row r="24" spans="2:12" ht="24.95" customHeight="1" x14ac:dyDescent="0.2">
      <c r="B24" s="754" t="s">
        <v>245</v>
      </c>
      <c r="C24" s="791"/>
      <c r="D24" s="428"/>
      <c r="E24" s="416"/>
      <c r="F24" s="416"/>
      <c r="G24" s="427"/>
      <c r="H24" s="428"/>
      <c r="I24" s="416"/>
      <c r="J24" s="416"/>
      <c r="K24" s="427"/>
      <c r="L24" s="766"/>
    </row>
    <row r="25" spans="2:12" ht="24.95" customHeight="1" x14ac:dyDescent="0.25">
      <c r="B25" s="754" t="s">
        <v>369</v>
      </c>
      <c r="C25" s="791"/>
      <c r="D25" s="428"/>
      <c r="E25" s="416"/>
      <c r="F25" s="416"/>
      <c r="G25" s="427"/>
      <c r="H25" s="428"/>
      <c r="I25" s="416"/>
      <c r="J25" s="416"/>
      <c r="K25" s="427"/>
      <c r="L25" s="417"/>
    </row>
    <row r="26" spans="2:12" ht="24.95" customHeight="1" thickBot="1" x14ac:dyDescent="0.3">
      <c r="B26" s="830" t="s">
        <v>368</v>
      </c>
      <c r="C26" s="831"/>
      <c r="D26" s="433"/>
      <c r="E26" s="434"/>
      <c r="F26" s="434"/>
      <c r="G26" s="435"/>
      <c r="H26" s="433"/>
      <c r="I26" s="434"/>
      <c r="J26" s="434"/>
      <c r="K26" s="435"/>
      <c r="L26" s="417" t="str">
        <f>IF(OR(SUM($H$17:$K$26)&gt;$H$10,SUM($H$17:$K$26)&lt;$H$10),"LAND USE MUST MATCH SITE ACREAGE","")</f>
        <v>LAND USE MUST MATCH SITE ACREAGE</v>
      </c>
    </row>
    <row r="27" spans="2:12" ht="24.95" customHeight="1" thickTop="1" thickBot="1" x14ac:dyDescent="0.25">
      <c r="B27" s="443" t="s">
        <v>264</v>
      </c>
      <c r="C27" s="444"/>
      <c r="D27" s="805" t="s">
        <v>56</v>
      </c>
      <c r="E27" s="805"/>
      <c r="F27" s="805"/>
      <c r="G27" s="805"/>
      <c r="H27" s="805" t="s">
        <v>57</v>
      </c>
      <c r="I27" s="805"/>
      <c r="J27" s="805"/>
      <c r="K27" s="805"/>
      <c r="L27" s="418"/>
    </row>
    <row r="28" spans="2:12" ht="24.95" customHeight="1" thickTop="1" x14ac:dyDescent="0.2">
      <c r="B28" s="795" t="s">
        <v>404</v>
      </c>
      <c r="C28" s="796"/>
      <c r="D28" s="794"/>
      <c r="E28" s="794"/>
      <c r="F28" s="794"/>
      <c r="G28" s="794"/>
      <c r="H28" s="794"/>
      <c r="I28" s="794"/>
      <c r="J28" s="794"/>
      <c r="K28" s="794"/>
      <c r="L28" s="736"/>
    </row>
    <row r="29" spans="2:12" ht="24.95" customHeight="1" x14ac:dyDescent="0.2">
      <c r="B29" s="770" t="s">
        <v>87</v>
      </c>
      <c r="C29" s="771"/>
      <c r="D29" s="774" t="s">
        <v>755</v>
      </c>
      <c r="E29" s="775"/>
      <c r="F29" s="775"/>
      <c r="G29" s="776"/>
      <c r="H29" s="774" t="s">
        <v>755</v>
      </c>
      <c r="I29" s="775"/>
      <c r="J29" s="775"/>
      <c r="K29" s="776"/>
      <c r="L29" s="736"/>
    </row>
    <row r="30" spans="2:12" ht="24.95" customHeight="1" x14ac:dyDescent="0.2">
      <c r="B30" s="770" t="s">
        <v>88</v>
      </c>
      <c r="C30" s="771"/>
      <c r="D30" s="777" t="s">
        <v>755</v>
      </c>
      <c r="E30" s="778"/>
      <c r="F30" s="778"/>
      <c r="G30" s="779"/>
      <c r="H30" s="777" t="s">
        <v>755</v>
      </c>
      <c r="I30" s="778"/>
      <c r="J30" s="778"/>
      <c r="K30" s="779"/>
      <c r="L30" s="766" t="s">
        <v>95</v>
      </c>
    </row>
    <row r="31" spans="2:12" ht="24.95" customHeight="1" x14ac:dyDescent="0.2">
      <c r="B31" s="770" t="s">
        <v>60</v>
      </c>
      <c r="C31" s="771"/>
      <c r="D31" s="774"/>
      <c r="E31" s="775"/>
      <c r="F31" s="775"/>
      <c r="G31" s="776"/>
      <c r="H31" s="774"/>
      <c r="I31" s="775"/>
      <c r="J31" s="775"/>
      <c r="K31" s="776"/>
      <c r="L31" s="766"/>
    </row>
    <row r="32" spans="2:12" ht="24.95" customHeight="1" x14ac:dyDescent="0.2">
      <c r="B32" s="781" t="s">
        <v>86</v>
      </c>
      <c r="C32" s="782"/>
      <c r="D32" s="769" t="str">
        <f>IF(D31=$B$143,$G$143,IF(D31=$B$144,$G$144,IF(D31=$B$145,$G$145,"")))</f>
        <v/>
      </c>
      <c r="E32" s="769"/>
      <c r="F32" s="769"/>
      <c r="G32" s="769"/>
      <c r="H32" s="769" t="str">
        <f>IF(H31=$B$143,$G$143,IF(H31=$B$144,$G$144,IF(H31=$B$145,$G$145,"")))</f>
        <v/>
      </c>
      <c r="I32" s="769"/>
      <c r="J32" s="769"/>
      <c r="K32" s="769"/>
      <c r="L32" s="766"/>
    </row>
    <row r="33" spans="2:12" ht="24.95" customHeight="1" x14ac:dyDescent="0.2">
      <c r="B33" s="770" t="s">
        <v>89</v>
      </c>
      <c r="C33" s="780"/>
      <c r="D33" s="769" t="e">
        <f>IF(D29&gt;0,(0.007*(D32*D29)^0.8)/(($D$11^0.5)*(D30^0.4)),0)</f>
        <v>#VALUE!</v>
      </c>
      <c r="E33" s="769"/>
      <c r="F33" s="769"/>
      <c r="G33" s="769"/>
      <c r="H33" s="769" t="e">
        <f>IF(H29&gt;0,(0.007*(H32*H29)^0.8)/(($D$11^0.5)*(H30^0.4)),0)</f>
        <v>#VALUE!</v>
      </c>
      <c r="I33" s="769"/>
      <c r="J33" s="769"/>
      <c r="K33" s="769"/>
      <c r="L33" s="766"/>
    </row>
    <row r="34" spans="2:12" ht="24.95" customHeight="1" x14ac:dyDescent="0.2">
      <c r="B34" s="795" t="s">
        <v>405</v>
      </c>
      <c r="C34" s="796"/>
      <c r="D34" s="570"/>
      <c r="E34" s="570"/>
      <c r="F34" s="570"/>
      <c r="G34" s="570"/>
      <c r="H34" s="570"/>
      <c r="I34" s="570"/>
      <c r="J34" s="570"/>
      <c r="K34" s="571"/>
      <c r="L34" s="419"/>
    </row>
    <row r="35" spans="2:12" ht="24.95" customHeight="1" x14ac:dyDescent="0.2">
      <c r="B35" s="770" t="s">
        <v>87</v>
      </c>
      <c r="C35" s="771"/>
      <c r="D35" s="774" t="s">
        <v>755</v>
      </c>
      <c r="E35" s="775"/>
      <c r="F35" s="775"/>
      <c r="G35" s="776"/>
      <c r="H35" s="774" t="s">
        <v>755</v>
      </c>
      <c r="I35" s="775"/>
      <c r="J35" s="775"/>
      <c r="K35" s="776"/>
      <c r="L35" s="163"/>
    </row>
    <row r="36" spans="2:12" ht="24.95" customHeight="1" x14ac:dyDescent="0.2">
      <c r="B36" s="770" t="s">
        <v>88</v>
      </c>
      <c r="C36" s="771"/>
      <c r="D36" s="777" t="s">
        <v>755</v>
      </c>
      <c r="E36" s="778"/>
      <c r="F36" s="778"/>
      <c r="G36" s="779"/>
      <c r="H36" s="777" t="s">
        <v>755</v>
      </c>
      <c r="I36" s="778"/>
      <c r="J36" s="778"/>
      <c r="K36" s="779"/>
      <c r="L36" s="163"/>
    </row>
    <row r="37" spans="2:12" ht="24.95" customHeight="1" x14ac:dyDescent="0.2">
      <c r="B37" s="770" t="s">
        <v>60</v>
      </c>
      <c r="C37" s="771"/>
      <c r="D37" s="774"/>
      <c r="E37" s="775"/>
      <c r="F37" s="775"/>
      <c r="G37" s="776"/>
      <c r="H37" s="774"/>
      <c r="I37" s="775"/>
      <c r="J37" s="775"/>
      <c r="K37" s="776"/>
      <c r="L37" s="163"/>
    </row>
    <row r="38" spans="2:12" ht="24.95" customHeight="1" x14ac:dyDescent="0.2">
      <c r="B38" s="781" t="s">
        <v>96</v>
      </c>
      <c r="C38" s="782"/>
      <c r="D38" s="783">
        <f>IF(D37="Unpaved",16.1345*D36^0.5,IF(D37="Paved",20.32828*D36^0.5,0))</f>
        <v>0</v>
      </c>
      <c r="E38" s="783"/>
      <c r="F38" s="783"/>
      <c r="G38" s="783"/>
      <c r="H38" s="783">
        <f>IF(H37="Unpaved",16.1345*H36^0.5,IF(H37="Paved",20.32828*H36^0.5,0))</f>
        <v>0</v>
      </c>
      <c r="I38" s="783"/>
      <c r="J38" s="783"/>
      <c r="K38" s="783"/>
      <c r="L38" s="766" t="s">
        <v>131</v>
      </c>
    </row>
    <row r="39" spans="2:12" ht="24.95" customHeight="1" x14ac:dyDescent="0.2">
      <c r="B39" s="770" t="s">
        <v>89</v>
      </c>
      <c r="C39" s="780"/>
      <c r="D39" s="783">
        <f>IF(D38&gt;0,D35/(3600*D38),0)</f>
        <v>0</v>
      </c>
      <c r="E39" s="783"/>
      <c r="F39" s="783"/>
      <c r="G39" s="783"/>
      <c r="H39" s="783">
        <f>IF(H38&gt;0,H35/(3600*H38),0)</f>
        <v>0</v>
      </c>
      <c r="I39" s="783"/>
      <c r="J39" s="783"/>
      <c r="K39" s="783"/>
      <c r="L39" s="766"/>
    </row>
    <row r="40" spans="2:12" ht="24.95" customHeight="1" x14ac:dyDescent="0.2">
      <c r="B40" s="784" t="s">
        <v>406</v>
      </c>
      <c r="C40" s="785"/>
      <c r="D40" s="772"/>
      <c r="E40" s="772"/>
      <c r="F40" s="772"/>
      <c r="G40" s="772"/>
      <c r="H40" s="772"/>
      <c r="I40" s="772"/>
      <c r="J40" s="772"/>
      <c r="K40" s="773"/>
      <c r="L40" s="163"/>
    </row>
    <row r="41" spans="2:12" ht="24.95" customHeight="1" x14ac:dyDescent="0.2">
      <c r="B41" s="770" t="s">
        <v>87</v>
      </c>
      <c r="C41" s="771"/>
      <c r="D41" s="739"/>
      <c r="E41" s="739"/>
      <c r="F41" s="739"/>
      <c r="G41" s="739"/>
      <c r="H41" s="774"/>
      <c r="I41" s="775"/>
      <c r="J41" s="775"/>
      <c r="K41" s="776"/>
      <c r="L41" s="163"/>
    </row>
    <row r="42" spans="2:12" ht="24.95" customHeight="1" x14ac:dyDescent="0.2">
      <c r="B42" s="770" t="s">
        <v>88</v>
      </c>
      <c r="C42" s="771"/>
      <c r="D42" s="786"/>
      <c r="E42" s="786"/>
      <c r="F42" s="786"/>
      <c r="G42" s="786"/>
      <c r="H42" s="777"/>
      <c r="I42" s="778"/>
      <c r="J42" s="778"/>
      <c r="K42" s="779"/>
      <c r="L42" s="163"/>
    </row>
    <row r="43" spans="2:12" ht="24.95" customHeight="1" x14ac:dyDescent="0.2">
      <c r="B43" s="770" t="s">
        <v>108</v>
      </c>
      <c r="C43" s="771"/>
      <c r="D43" s="739"/>
      <c r="E43" s="739"/>
      <c r="F43" s="739"/>
      <c r="G43" s="739"/>
      <c r="H43" s="774"/>
      <c r="I43" s="775"/>
      <c r="J43" s="775"/>
      <c r="K43" s="776"/>
      <c r="L43" s="163"/>
    </row>
    <row r="44" spans="2:12" ht="24.95" customHeight="1" x14ac:dyDescent="0.2">
      <c r="B44" s="767" t="s">
        <v>90</v>
      </c>
      <c r="C44" s="768"/>
      <c r="D44" s="739"/>
      <c r="E44" s="739"/>
      <c r="F44" s="739"/>
      <c r="G44" s="739"/>
      <c r="H44" s="774"/>
      <c r="I44" s="775"/>
      <c r="J44" s="775"/>
      <c r="K44" s="776"/>
      <c r="L44" s="163"/>
    </row>
    <row r="45" spans="2:12" ht="24.95" customHeight="1" x14ac:dyDescent="0.2">
      <c r="B45" s="770" t="s">
        <v>116</v>
      </c>
      <c r="C45" s="771"/>
      <c r="D45" s="739"/>
      <c r="E45" s="739"/>
      <c r="F45" s="739"/>
      <c r="G45" s="739"/>
      <c r="H45" s="774"/>
      <c r="I45" s="775"/>
      <c r="J45" s="775"/>
      <c r="K45" s="776"/>
      <c r="L45" s="163"/>
    </row>
    <row r="46" spans="2:12" ht="24.95" customHeight="1" x14ac:dyDescent="0.2">
      <c r="B46" s="781" t="s">
        <v>86</v>
      </c>
      <c r="C46" s="782"/>
      <c r="D46" s="769" t="str">
        <f>IF(D45="Asphalt",$G$151,IF(D45="Concrete, finished",$G$152,IF(D45="Concrete, unfinished",$G$153,IF(D45="Grass",$G$154,IF(D45="Gravel Bottom/riprap sides",$G$155,IF(D45="Weeds",$G$156,""))))))</f>
        <v/>
      </c>
      <c r="E46" s="769"/>
      <c r="F46" s="769"/>
      <c r="G46" s="769"/>
      <c r="H46" s="769" t="str">
        <f>IF(H45="Asphalt",$G$151,IF(H45="Concrete, finished",$G$152,IF(H45="Concrete, unfinished",$G$153,IF(H45="Grass",$G$154,IF(H45="Gravel Bottom/riprap sides",$G$155,IF(H45="Weeds",$G$156,""))))))</f>
        <v/>
      </c>
      <c r="I46" s="769"/>
      <c r="J46" s="769"/>
      <c r="K46" s="769"/>
      <c r="L46" s="766" t="s">
        <v>174</v>
      </c>
    </row>
    <row r="47" spans="2:12" ht="24.95" customHeight="1" x14ac:dyDescent="0.2">
      <c r="B47" s="781" t="s">
        <v>109</v>
      </c>
      <c r="C47" s="782"/>
      <c r="D47" s="783">
        <f>IF(ISERROR(D43/D44),0,D43/D44)</f>
        <v>0</v>
      </c>
      <c r="E47" s="783"/>
      <c r="F47" s="783"/>
      <c r="G47" s="783"/>
      <c r="H47" s="783">
        <f>IF(ISERROR(H43/H44),0,H43/H44)</f>
        <v>0</v>
      </c>
      <c r="I47" s="783"/>
      <c r="J47" s="783"/>
      <c r="K47" s="783"/>
      <c r="L47" s="766"/>
    </row>
    <row r="48" spans="2:12" ht="24.95" customHeight="1" x14ac:dyDescent="0.2">
      <c r="B48" s="781" t="s">
        <v>96</v>
      </c>
      <c r="C48" s="782"/>
      <c r="D48" s="783">
        <f>IF(D44&gt;0,(1.49*(D47^(2/3))*(D42^0.5))/D46,0)</f>
        <v>0</v>
      </c>
      <c r="E48" s="783"/>
      <c r="F48" s="783"/>
      <c r="G48" s="783"/>
      <c r="H48" s="783">
        <f>IF(H44&gt;0,(1.49*(H47^(2/3))*(H42^0.5))/H46,0)</f>
        <v>0</v>
      </c>
      <c r="I48" s="783"/>
      <c r="J48" s="783"/>
      <c r="K48" s="783"/>
      <c r="L48" s="766"/>
    </row>
    <row r="49" spans="2:12" ht="24.95" customHeight="1" x14ac:dyDescent="0.2">
      <c r="B49" s="770" t="s">
        <v>89</v>
      </c>
      <c r="C49" s="780"/>
      <c r="D49" s="783">
        <f>IF(D44&gt;0,D41/(3600*D48),0)</f>
        <v>0</v>
      </c>
      <c r="E49" s="783"/>
      <c r="F49" s="783"/>
      <c r="G49" s="783"/>
      <c r="H49" s="783">
        <f>IF(H44&gt;0,H41/(3600*H48),0)</f>
        <v>0</v>
      </c>
      <c r="I49" s="783"/>
      <c r="J49" s="783"/>
      <c r="K49" s="783"/>
      <c r="L49" s="766"/>
    </row>
    <row r="50" spans="2:12" ht="24.95" customHeight="1" x14ac:dyDescent="0.2">
      <c r="B50" s="784" t="s">
        <v>407</v>
      </c>
      <c r="C50" s="785"/>
      <c r="D50" s="772"/>
      <c r="E50" s="772"/>
      <c r="F50" s="772"/>
      <c r="G50" s="772"/>
      <c r="H50" s="772"/>
      <c r="I50" s="772"/>
      <c r="J50" s="772"/>
      <c r="K50" s="773"/>
      <c r="L50" s="163"/>
    </row>
    <row r="51" spans="2:12" ht="24.95" customHeight="1" x14ac:dyDescent="0.2">
      <c r="B51" s="770" t="s">
        <v>87</v>
      </c>
      <c r="C51" s="771"/>
      <c r="D51" s="739"/>
      <c r="E51" s="739"/>
      <c r="F51" s="739"/>
      <c r="G51" s="739"/>
      <c r="H51" s="739"/>
      <c r="I51" s="739"/>
      <c r="J51" s="739"/>
      <c r="K51" s="739"/>
      <c r="L51" s="163"/>
    </row>
    <row r="52" spans="2:12" ht="24.95" customHeight="1" x14ac:dyDescent="0.2">
      <c r="B52" s="770" t="s">
        <v>88</v>
      </c>
      <c r="C52" s="771"/>
      <c r="D52" s="786"/>
      <c r="E52" s="786"/>
      <c r="F52" s="786"/>
      <c r="G52" s="786"/>
      <c r="H52" s="786"/>
      <c r="I52" s="786"/>
      <c r="J52" s="786"/>
      <c r="K52" s="786"/>
      <c r="L52" s="163"/>
    </row>
    <row r="53" spans="2:12" ht="24.95" customHeight="1" x14ac:dyDescent="0.2">
      <c r="B53" s="770" t="s">
        <v>108</v>
      </c>
      <c r="C53" s="771"/>
      <c r="D53" s="739"/>
      <c r="E53" s="739"/>
      <c r="F53" s="739"/>
      <c r="G53" s="739"/>
      <c r="H53" s="739"/>
      <c r="I53" s="739"/>
      <c r="J53" s="739"/>
      <c r="K53" s="739"/>
      <c r="L53" s="163"/>
    </row>
    <row r="54" spans="2:12" ht="24.95" customHeight="1" x14ac:dyDescent="0.2">
      <c r="B54" s="767" t="s">
        <v>90</v>
      </c>
      <c r="C54" s="768"/>
      <c r="D54" s="739"/>
      <c r="E54" s="739"/>
      <c r="F54" s="739"/>
      <c r="G54" s="739"/>
      <c r="H54" s="739"/>
      <c r="I54" s="739"/>
      <c r="J54" s="739"/>
      <c r="K54" s="739"/>
      <c r="L54" s="163"/>
    </row>
    <row r="55" spans="2:12" ht="24.95" customHeight="1" x14ac:dyDescent="0.2">
      <c r="B55" s="770" t="s">
        <v>116</v>
      </c>
      <c r="C55" s="771"/>
      <c r="D55" s="739"/>
      <c r="E55" s="739"/>
      <c r="F55" s="739"/>
      <c r="G55" s="739"/>
      <c r="H55" s="739"/>
      <c r="I55" s="739"/>
      <c r="J55" s="739"/>
      <c r="K55" s="739"/>
      <c r="L55" s="163"/>
    </row>
    <row r="56" spans="2:12" ht="24.95" customHeight="1" x14ac:dyDescent="0.2">
      <c r="B56" s="781" t="s">
        <v>86</v>
      </c>
      <c r="C56" s="782"/>
      <c r="D56" s="769" t="str">
        <f>IF(D55="Asphalt",$G$151,IF(D55="Concrete, finished",$G$152,IF(D55="Concrete, unfinished",$G$153,IF(D55="Grass",$G$154,IF(D55="Gravel Bottom/riprap sides",$G$155,IF(D55="Weeds",$G$156,""))))))</f>
        <v/>
      </c>
      <c r="E56" s="769"/>
      <c r="F56" s="769"/>
      <c r="G56" s="769"/>
      <c r="H56" s="769" t="str">
        <f>IF(H55="Asphalt",$G$151,IF(H55="Concrete, finished",$G$152,IF(H55="Concrete, unfinished",$G$153,IF(H55="Grass",$G$154,IF(H55="Gravel Bottom/riprap sides",$G$155,IF(H55="Weeds",$G$156,""))))))</f>
        <v/>
      </c>
      <c r="I56" s="769"/>
      <c r="J56" s="769"/>
      <c r="K56" s="769"/>
      <c r="L56" s="766" t="s">
        <v>174</v>
      </c>
    </row>
    <row r="57" spans="2:12" ht="24.95" customHeight="1" x14ac:dyDescent="0.2">
      <c r="B57" s="781" t="s">
        <v>109</v>
      </c>
      <c r="C57" s="782"/>
      <c r="D57" s="783">
        <f>IF(ISERROR(D53/D54),0,D53/D54)</f>
        <v>0</v>
      </c>
      <c r="E57" s="783"/>
      <c r="F57" s="783"/>
      <c r="G57" s="783"/>
      <c r="H57" s="783">
        <f>IF(ISERROR(H53/H54),0,H53/H54)</f>
        <v>0</v>
      </c>
      <c r="I57" s="783"/>
      <c r="J57" s="783"/>
      <c r="K57" s="783"/>
      <c r="L57" s="766"/>
    </row>
    <row r="58" spans="2:12" ht="24.95" customHeight="1" x14ac:dyDescent="0.2">
      <c r="B58" s="781" t="s">
        <v>96</v>
      </c>
      <c r="C58" s="782"/>
      <c r="D58" s="783">
        <f>IF(D54&gt;0,(1.49*(D57^(2/3))*(D52^0.5))/D56,0)</f>
        <v>0</v>
      </c>
      <c r="E58" s="783"/>
      <c r="F58" s="783"/>
      <c r="G58" s="783"/>
      <c r="H58" s="783">
        <f>IF(H54&gt;0,(1.49*(H57^(2/3))*(H52^0.5))/H56,0)</f>
        <v>0</v>
      </c>
      <c r="I58" s="783"/>
      <c r="J58" s="783"/>
      <c r="K58" s="783"/>
      <c r="L58" s="766"/>
    </row>
    <row r="59" spans="2:12" ht="24.95" customHeight="1" x14ac:dyDescent="0.2">
      <c r="B59" s="770" t="s">
        <v>89</v>
      </c>
      <c r="C59" s="780"/>
      <c r="D59" s="783">
        <f>IF(D54&gt;0,D51/(3600*D58),0)</f>
        <v>0</v>
      </c>
      <c r="E59" s="783"/>
      <c r="F59" s="783"/>
      <c r="G59" s="783"/>
      <c r="H59" s="783">
        <f>IF(H54&gt;0,H51/(3600*H58),0)</f>
        <v>0</v>
      </c>
      <c r="I59" s="783"/>
      <c r="J59" s="783"/>
      <c r="K59" s="783"/>
      <c r="L59" s="766"/>
    </row>
    <row r="60" spans="2:12" ht="24.95" customHeight="1" x14ac:dyDescent="0.2">
      <c r="B60" s="784" t="s">
        <v>408</v>
      </c>
      <c r="C60" s="785"/>
      <c r="D60" s="772"/>
      <c r="E60" s="772"/>
      <c r="F60" s="772"/>
      <c r="G60" s="772"/>
      <c r="H60" s="772"/>
      <c r="I60" s="772"/>
      <c r="J60" s="772"/>
      <c r="K60" s="773"/>
      <c r="L60" s="163"/>
    </row>
    <row r="61" spans="2:12" ht="24.95" customHeight="1" x14ac:dyDescent="0.2">
      <c r="B61" s="770" t="s">
        <v>87</v>
      </c>
      <c r="C61" s="771"/>
      <c r="D61" s="739"/>
      <c r="E61" s="739"/>
      <c r="F61" s="739"/>
      <c r="G61" s="739"/>
      <c r="H61" s="739"/>
      <c r="I61" s="739"/>
      <c r="J61" s="739"/>
      <c r="K61" s="739"/>
      <c r="L61" s="163"/>
    </row>
    <row r="62" spans="2:12" ht="24.95" customHeight="1" x14ac:dyDescent="0.2">
      <c r="B62" s="770" t="s">
        <v>88</v>
      </c>
      <c r="C62" s="771"/>
      <c r="D62" s="786"/>
      <c r="E62" s="786"/>
      <c r="F62" s="786"/>
      <c r="G62" s="786"/>
      <c r="H62" s="786"/>
      <c r="I62" s="786"/>
      <c r="J62" s="786"/>
      <c r="K62" s="786"/>
      <c r="L62" s="163"/>
    </row>
    <row r="63" spans="2:12" ht="24.95" customHeight="1" x14ac:dyDescent="0.2">
      <c r="B63" s="770" t="s">
        <v>108</v>
      </c>
      <c r="C63" s="771"/>
      <c r="D63" s="739"/>
      <c r="E63" s="739"/>
      <c r="F63" s="739"/>
      <c r="G63" s="739"/>
      <c r="H63" s="739"/>
      <c r="I63" s="739"/>
      <c r="J63" s="739"/>
      <c r="K63" s="739"/>
      <c r="L63" s="163"/>
    </row>
    <row r="64" spans="2:12" ht="24.95" customHeight="1" x14ac:dyDescent="0.2">
      <c r="B64" s="821" t="s">
        <v>90</v>
      </c>
      <c r="C64" s="822"/>
      <c r="D64" s="739"/>
      <c r="E64" s="739"/>
      <c r="F64" s="739"/>
      <c r="G64" s="739"/>
      <c r="H64" s="739"/>
      <c r="I64" s="739"/>
      <c r="J64" s="739"/>
      <c r="K64" s="739"/>
      <c r="L64" s="163"/>
    </row>
    <row r="65" spans="1:27" ht="24.95" customHeight="1" x14ac:dyDescent="0.2">
      <c r="B65" s="770" t="s">
        <v>116</v>
      </c>
      <c r="C65" s="771"/>
      <c r="D65" s="739"/>
      <c r="E65" s="739"/>
      <c r="F65" s="739"/>
      <c r="G65" s="739"/>
      <c r="H65" s="739"/>
      <c r="I65" s="739"/>
      <c r="J65" s="739"/>
      <c r="K65" s="739"/>
      <c r="L65" s="163"/>
    </row>
    <row r="66" spans="1:27" ht="24.95" customHeight="1" x14ac:dyDescent="0.2">
      <c r="B66" s="781" t="s">
        <v>86</v>
      </c>
      <c r="C66" s="782"/>
      <c r="D66" s="769" t="str">
        <f>IF(D65="Asphalt",$G$151,IF(D65="Concrete, finished",$G$152,IF(D65="Concrete, unfinished",$G$153,IF(D65="Grass",$G$154,IF(D65="Gravel Bottom/riprap sides",$G$155,IF(D65="Weeds",$G$156,""))))))</f>
        <v/>
      </c>
      <c r="E66" s="769"/>
      <c r="F66" s="769"/>
      <c r="G66" s="769"/>
      <c r="H66" s="769" t="str">
        <f>IF(H65="Asphalt",$G$151,IF(H65="Concrete, finished",$G$152,IF(H65="Concrete, unfinished",$G$153,IF(H65="Grass",$G$154,IF(H65="Gravel Bottom/riprap sides",$G$155,IF(H65="Weeds",$G$156,""))))))</f>
        <v/>
      </c>
      <c r="I66" s="769"/>
      <c r="J66" s="769"/>
      <c r="K66" s="769"/>
      <c r="L66" s="766" t="s">
        <v>174</v>
      </c>
    </row>
    <row r="67" spans="1:27" ht="24.95" customHeight="1" x14ac:dyDescent="0.2">
      <c r="B67" s="781" t="s">
        <v>109</v>
      </c>
      <c r="C67" s="782"/>
      <c r="D67" s="783">
        <f>IF(ISERROR(D63/D64),0,D63/D64)</f>
        <v>0</v>
      </c>
      <c r="E67" s="783"/>
      <c r="F67" s="783"/>
      <c r="G67" s="783"/>
      <c r="H67" s="783">
        <f>IF(ISERROR(H63/H64),0,H63/H64)</f>
        <v>0</v>
      </c>
      <c r="I67" s="783"/>
      <c r="J67" s="783"/>
      <c r="K67" s="783"/>
      <c r="L67" s="766"/>
    </row>
    <row r="68" spans="1:27" ht="24.95" customHeight="1" x14ac:dyDescent="0.2">
      <c r="B68" s="781" t="s">
        <v>96</v>
      </c>
      <c r="C68" s="782"/>
      <c r="D68" s="783">
        <f>IF(D64&gt;0,(1.49*(D67^(2/3))*(D62^0.5))/D66,0)</f>
        <v>0</v>
      </c>
      <c r="E68" s="783"/>
      <c r="F68" s="783"/>
      <c r="G68" s="783"/>
      <c r="H68" s="783">
        <f>IF(H64&gt;0,(1.49*(H67^(2/3))*(H62^0.5))/H66,0)</f>
        <v>0</v>
      </c>
      <c r="I68" s="783"/>
      <c r="J68" s="783"/>
      <c r="K68" s="783"/>
      <c r="L68" s="766"/>
    </row>
    <row r="69" spans="1:27" ht="24.95" customHeight="1" x14ac:dyDescent="0.2">
      <c r="B69" s="770" t="s">
        <v>89</v>
      </c>
      <c r="C69" s="780"/>
      <c r="D69" s="783">
        <f>IF(D64&gt;0,D61/(3600*D68),0)</f>
        <v>0</v>
      </c>
      <c r="E69" s="783"/>
      <c r="F69" s="783"/>
      <c r="G69" s="783"/>
      <c r="H69" s="783">
        <f>IF(H64&gt;0,H61/(3600*H68),0)</f>
        <v>0</v>
      </c>
      <c r="I69" s="783"/>
      <c r="J69" s="783"/>
      <c r="K69" s="783"/>
      <c r="L69" s="766"/>
    </row>
    <row r="70" spans="1:27" ht="24.95" customHeight="1" thickBot="1" x14ac:dyDescent="0.25">
      <c r="B70" s="819" t="s">
        <v>125</v>
      </c>
      <c r="C70" s="820"/>
      <c r="D70" s="739" t="e">
        <f>D69+D59+D49+D39+D33</f>
        <v>#VALUE!</v>
      </c>
      <c r="E70" s="739"/>
      <c r="F70" s="739"/>
      <c r="G70" s="739"/>
      <c r="H70" s="739" t="e">
        <f>H69+H59+H49+H39+H33</f>
        <v>#VALUE!</v>
      </c>
      <c r="I70" s="739"/>
      <c r="J70" s="739"/>
      <c r="K70" s="739"/>
      <c r="L70" s="566" t="s">
        <v>176</v>
      </c>
    </row>
    <row r="71" spans="1:27" ht="24.95" customHeight="1" thickTop="1" thickBot="1" x14ac:dyDescent="0.3">
      <c r="B71" s="443" t="s">
        <v>134</v>
      </c>
      <c r="C71" s="445"/>
      <c r="D71" s="762" t="s">
        <v>9</v>
      </c>
      <c r="E71" s="762"/>
      <c r="F71" s="762"/>
      <c r="G71" s="762"/>
      <c r="H71" s="762" t="s">
        <v>30</v>
      </c>
      <c r="I71" s="762"/>
      <c r="J71" s="762"/>
      <c r="K71" s="762"/>
      <c r="L71" s="163"/>
    </row>
    <row r="72" spans="1:27" s="169" customFormat="1" ht="24.95" hidden="1" customHeight="1" thickTop="1" x14ac:dyDescent="0.2">
      <c r="A72" s="216"/>
      <c r="B72" s="826" t="s">
        <v>386</v>
      </c>
      <c r="C72" s="827"/>
      <c r="D72" s="816" t="e">
        <f>C122*0.2</f>
        <v>#VALUE!</v>
      </c>
      <c r="E72" s="817"/>
      <c r="F72" s="817"/>
      <c r="G72" s="818"/>
      <c r="H72" s="816" t="e">
        <f>C130*0.2</f>
        <v>#VALUE!</v>
      </c>
      <c r="I72" s="817"/>
      <c r="J72" s="817"/>
      <c r="K72" s="832"/>
      <c r="L72" s="420"/>
      <c r="M72" s="216"/>
      <c r="N72" s="216"/>
      <c r="O72" s="216"/>
      <c r="P72" s="216"/>
      <c r="Q72" s="216"/>
      <c r="R72" s="216"/>
      <c r="S72" s="216"/>
      <c r="T72" s="216"/>
      <c r="U72" s="216"/>
      <c r="V72" s="216"/>
      <c r="W72" s="216"/>
      <c r="X72" s="216"/>
      <c r="Y72" s="216"/>
      <c r="Z72" s="216"/>
      <c r="AA72" s="216"/>
    </row>
    <row r="73" spans="1:27" s="169" customFormat="1" ht="24.95" hidden="1" customHeight="1" x14ac:dyDescent="0.2">
      <c r="A73" s="216"/>
      <c r="B73" s="814" t="s">
        <v>387</v>
      </c>
      <c r="C73" s="815"/>
      <c r="D73" s="812" t="e">
        <f>D72/$D$11</f>
        <v>#VALUE!</v>
      </c>
      <c r="E73" s="812"/>
      <c r="F73" s="812"/>
      <c r="G73" s="812"/>
      <c r="H73" s="812" t="e">
        <f>H72/$D$11</f>
        <v>#VALUE!</v>
      </c>
      <c r="I73" s="812"/>
      <c r="J73" s="812"/>
      <c r="K73" s="813"/>
      <c r="L73" s="421"/>
      <c r="M73" s="216"/>
      <c r="N73" s="216"/>
      <c r="O73" s="216"/>
      <c r="P73" s="216"/>
      <c r="Q73" s="216"/>
      <c r="R73" s="216"/>
      <c r="S73" s="216"/>
      <c r="T73" s="216"/>
      <c r="U73" s="216"/>
      <c r="V73" s="216"/>
      <c r="W73" s="216"/>
      <c r="X73" s="216"/>
      <c r="Y73" s="216"/>
      <c r="Z73" s="216"/>
      <c r="AA73" s="216"/>
    </row>
    <row r="74" spans="1:27" ht="24.95" customHeight="1" thickTop="1" thickBot="1" x14ac:dyDescent="0.25">
      <c r="B74" s="828" t="s">
        <v>132</v>
      </c>
      <c r="C74" s="829"/>
      <c r="D74" s="763" t="e">
        <f>$G$109</f>
        <v>#VALUE!</v>
      </c>
      <c r="E74" s="763"/>
      <c r="F74" s="763"/>
      <c r="G74" s="763"/>
      <c r="H74" s="763" t="e">
        <f>$H$109</f>
        <v>#VALUE!</v>
      </c>
      <c r="I74" s="763"/>
      <c r="J74" s="763"/>
      <c r="K74" s="763"/>
      <c r="L74" s="566" t="s">
        <v>177</v>
      </c>
    </row>
    <row r="75" spans="1:27" s="142" customFormat="1" ht="24.95" customHeight="1" thickTop="1" thickBot="1" x14ac:dyDescent="0.25">
      <c r="A75" s="141"/>
      <c r="B75" s="750" t="s">
        <v>223</v>
      </c>
      <c r="C75" s="751"/>
      <c r="D75" s="436"/>
      <c r="E75" s="436"/>
      <c r="F75" s="436"/>
      <c r="G75" s="436"/>
      <c r="H75" s="436"/>
      <c r="I75" s="436"/>
      <c r="J75" s="436"/>
      <c r="K75" s="437"/>
      <c r="L75" s="422"/>
      <c r="M75" s="141"/>
      <c r="N75" s="141"/>
      <c r="O75" s="141"/>
      <c r="P75" s="141"/>
      <c r="Q75" s="141"/>
      <c r="R75" s="141"/>
      <c r="S75" s="141"/>
      <c r="T75" s="141"/>
      <c r="U75" s="141"/>
      <c r="V75" s="141"/>
      <c r="W75" s="141"/>
      <c r="X75" s="141"/>
      <c r="Y75" s="141"/>
      <c r="Z75" s="141"/>
      <c r="AA75" s="141"/>
    </row>
    <row r="76" spans="1:27" s="144" customFormat="1" ht="24.95" customHeight="1" thickTop="1" x14ac:dyDescent="0.2">
      <c r="A76" s="143"/>
      <c r="B76" s="740" t="s">
        <v>402</v>
      </c>
      <c r="C76" s="741"/>
      <c r="D76" s="742">
        <f>SUM($H$26:$K$26)</f>
        <v>0</v>
      </c>
      <c r="E76" s="743"/>
      <c r="F76" s="743"/>
      <c r="G76" s="743"/>
      <c r="H76" s="743"/>
      <c r="I76" s="743"/>
      <c r="J76" s="743"/>
      <c r="K76" s="744"/>
      <c r="L76" s="566" t="s">
        <v>222</v>
      </c>
      <c r="M76" s="143"/>
      <c r="N76" s="143"/>
      <c r="O76" s="143"/>
      <c r="P76" s="143"/>
      <c r="Q76" s="143"/>
      <c r="R76" s="143"/>
      <c r="S76" s="143"/>
      <c r="T76" s="143"/>
      <c r="U76" s="143"/>
      <c r="V76" s="143"/>
      <c r="W76" s="143"/>
      <c r="X76" s="143"/>
      <c r="Y76" s="143"/>
      <c r="Z76" s="143"/>
      <c r="AA76" s="143"/>
    </row>
    <row r="77" spans="1:27" s="144" customFormat="1" ht="24.95" customHeight="1" thickBot="1" x14ac:dyDescent="0.25">
      <c r="A77" s="143"/>
      <c r="B77" s="745" t="s">
        <v>403</v>
      </c>
      <c r="C77" s="746"/>
      <c r="D77" s="747" t="e">
        <f>IF(D76&gt;0,$C$188,H74)</f>
        <v>#VALUE!</v>
      </c>
      <c r="E77" s="748"/>
      <c r="F77" s="748"/>
      <c r="G77" s="748"/>
      <c r="H77" s="748"/>
      <c r="I77" s="748"/>
      <c r="J77" s="748"/>
      <c r="K77" s="749"/>
      <c r="L77" s="423"/>
      <c r="M77" s="143"/>
      <c r="N77" s="143"/>
      <c r="O77" s="143"/>
      <c r="P77" s="143"/>
      <c r="Q77" s="143"/>
      <c r="R77" s="143"/>
      <c r="S77" s="143"/>
      <c r="T77" s="143"/>
      <c r="U77" s="143"/>
      <c r="V77" s="143"/>
      <c r="W77" s="143"/>
      <c r="X77" s="143"/>
      <c r="Y77" s="143"/>
      <c r="Z77" s="143"/>
      <c r="AA77" s="143"/>
    </row>
    <row r="78" spans="1:27" ht="24.95" customHeight="1" thickTop="1" thickBot="1" x14ac:dyDescent="0.25">
      <c r="B78" s="750" t="s">
        <v>385</v>
      </c>
      <c r="C78" s="751"/>
      <c r="D78" s="436"/>
      <c r="E78" s="436"/>
      <c r="F78" s="436"/>
      <c r="G78" s="436"/>
      <c r="H78" s="436"/>
      <c r="I78" s="436"/>
      <c r="J78" s="436"/>
      <c r="K78" s="437"/>
      <c r="L78" s="163"/>
    </row>
    <row r="79" spans="1:27" s="555" customFormat="1" ht="24.95" hidden="1" customHeight="1" thickTop="1" x14ac:dyDescent="0.2">
      <c r="A79" s="554"/>
      <c r="B79" s="764" t="s">
        <v>552</v>
      </c>
      <c r="C79" s="765"/>
      <c r="D79" s="823">
        <f>IF(ISERROR(C170),"",(C170))</f>
        <v>0</v>
      </c>
      <c r="E79" s="824"/>
      <c r="F79" s="824"/>
      <c r="G79" s="824"/>
      <c r="H79" s="824"/>
      <c r="I79" s="824"/>
      <c r="J79" s="824"/>
      <c r="K79" s="825"/>
      <c r="L79" s="553" t="s">
        <v>389</v>
      </c>
      <c r="M79" s="554"/>
      <c r="N79" s="554"/>
      <c r="O79" s="554"/>
      <c r="P79" s="554"/>
      <c r="Q79" s="554"/>
      <c r="R79" s="554"/>
      <c r="S79" s="554"/>
      <c r="T79" s="554"/>
      <c r="U79" s="554"/>
      <c r="V79" s="554"/>
      <c r="W79" s="554"/>
      <c r="X79" s="554"/>
      <c r="Y79" s="554"/>
      <c r="Z79" s="554"/>
      <c r="AA79" s="554"/>
    </row>
    <row r="80" spans="1:27" ht="41.25" customHeight="1" thickTop="1" thickBot="1" x14ac:dyDescent="0.25">
      <c r="B80" s="757" t="s">
        <v>590</v>
      </c>
      <c r="C80" s="758"/>
      <c r="D80" s="759" t="str">
        <f>IF(ISERROR($K$175),"",($K$175))</f>
        <v/>
      </c>
      <c r="E80" s="760"/>
      <c r="F80" s="760"/>
      <c r="G80" s="760"/>
      <c r="H80" s="760"/>
      <c r="I80" s="760"/>
      <c r="J80" s="760"/>
      <c r="K80" s="761"/>
      <c r="L80" s="566" t="s">
        <v>389</v>
      </c>
    </row>
    <row r="81" spans="1:27" ht="24.95" customHeight="1" thickTop="1" thickBot="1" x14ac:dyDescent="0.25">
      <c r="B81" s="750" t="s">
        <v>384</v>
      </c>
      <c r="C81" s="751"/>
      <c r="D81" s="436"/>
      <c r="E81" s="436"/>
      <c r="F81" s="436"/>
      <c r="G81" s="436"/>
      <c r="H81" s="436"/>
      <c r="I81" s="436"/>
      <c r="J81" s="436"/>
      <c r="K81" s="437"/>
      <c r="L81" s="163"/>
    </row>
    <row r="82" spans="1:27" ht="24.95" customHeight="1" thickTop="1" x14ac:dyDescent="0.2">
      <c r="B82" s="754" t="s">
        <v>390</v>
      </c>
      <c r="C82" s="753"/>
      <c r="D82" s="755" t="e">
        <f>IF(D72&gt;'SITE DATA'!$F$26,0,C123)</f>
        <v>#VALUE!</v>
      </c>
      <c r="E82" s="755"/>
      <c r="F82" s="755"/>
      <c r="G82" s="755"/>
      <c r="H82" s="755" t="e">
        <f>IF(H72&gt;'SITE DATA'!$F$26,0,C131)</f>
        <v>#VALUE!</v>
      </c>
      <c r="I82" s="755"/>
      <c r="J82" s="755"/>
      <c r="K82" s="755"/>
      <c r="L82" s="566" t="s">
        <v>178</v>
      </c>
    </row>
    <row r="83" spans="1:27" ht="24.95" customHeight="1" x14ac:dyDescent="0.2">
      <c r="B83" s="752" t="s">
        <v>349</v>
      </c>
      <c r="C83" s="753"/>
      <c r="D83" s="756" t="e">
        <f>ROUND(IF(ISERROR((D82/12)*(D10*43560)),"",((D82/12)*(D10*43560))),0)</f>
        <v>#VALUE!</v>
      </c>
      <c r="E83" s="756"/>
      <c r="F83" s="756"/>
      <c r="G83" s="756"/>
      <c r="H83" s="756">
        <f>ROUND(IF(ISERROR((H82/12)*(H10*43560)),0,((H82/12)*(H10*43560))),0)</f>
        <v>0</v>
      </c>
      <c r="I83" s="756"/>
      <c r="J83" s="756"/>
      <c r="K83" s="756"/>
      <c r="L83" s="424"/>
    </row>
    <row r="84" spans="1:27" ht="39" customHeight="1" x14ac:dyDescent="0.2">
      <c r="B84" s="757" t="s">
        <v>559</v>
      </c>
      <c r="C84" s="758"/>
      <c r="D84" s="756" t="str">
        <f>IF(ISERROR(H83-D83),"",(H83-D83))</f>
        <v/>
      </c>
      <c r="E84" s="756"/>
      <c r="F84" s="756"/>
      <c r="G84" s="756"/>
      <c r="H84" s="756"/>
      <c r="I84" s="756"/>
      <c r="J84" s="756"/>
      <c r="K84" s="756"/>
      <c r="L84" s="425"/>
    </row>
    <row r="85" spans="1:27" ht="24.95" customHeight="1" thickBot="1" x14ac:dyDescent="0.25">
      <c r="B85" s="752" t="s">
        <v>350</v>
      </c>
      <c r="C85" s="753"/>
      <c r="D85" s="809" t="e">
        <f>H127</f>
        <v>#VALUE!</v>
      </c>
      <c r="E85" s="809"/>
      <c r="F85" s="809"/>
      <c r="G85" s="809"/>
      <c r="H85" s="809" t="e">
        <f>H135</f>
        <v>#VALUE!</v>
      </c>
      <c r="I85" s="809"/>
      <c r="J85" s="809"/>
      <c r="K85" s="809"/>
      <c r="L85" s="426" t="s">
        <v>159</v>
      </c>
    </row>
    <row r="86" spans="1:27" ht="24.95" customHeight="1" thickTop="1" thickBot="1" x14ac:dyDescent="0.25">
      <c r="B86" s="750" t="s">
        <v>374</v>
      </c>
      <c r="C86" s="751"/>
      <c r="D86" s="436"/>
      <c r="E86" s="436"/>
      <c r="F86" s="436"/>
      <c r="G86" s="436"/>
      <c r="H86" s="436"/>
      <c r="I86" s="436"/>
      <c r="J86" s="436"/>
      <c r="K86" s="437"/>
      <c r="L86" s="426"/>
    </row>
    <row r="87" spans="1:27" ht="24.95" customHeight="1" thickTop="1" x14ac:dyDescent="0.2">
      <c r="B87" s="754" t="s">
        <v>391</v>
      </c>
      <c r="C87" s="753"/>
      <c r="D87" s="755" t="e">
        <f>IF($D$72&gt;'SITE DATA'!$F$27,0,C124)</f>
        <v>#VALUE!</v>
      </c>
      <c r="E87" s="755"/>
      <c r="F87" s="755"/>
      <c r="G87" s="755"/>
      <c r="H87" s="755" t="e">
        <f>IF($H$72&gt;'SITE DATA'!$F$27,0,C132)</f>
        <v>#VALUE!</v>
      </c>
      <c r="I87" s="755"/>
      <c r="J87" s="755"/>
      <c r="K87" s="755"/>
      <c r="L87" s="566" t="s">
        <v>178</v>
      </c>
    </row>
    <row r="88" spans="1:27" ht="24.95" customHeight="1" x14ac:dyDescent="0.2">
      <c r="B88" s="752" t="s">
        <v>349</v>
      </c>
      <c r="C88" s="753"/>
      <c r="D88" s="756" t="e">
        <f>(D87/12)*($D$10*43560)</f>
        <v>#VALUE!</v>
      </c>
      <c r="E88" s="756"/>
      <c r="F88" s="756"/>
      <c r="G88" s="756"/>
      <c r="H88" s="756" t="e">
        <f>(H87/12)*(H10*43560)</f>
        <v>#VALUE!</v>
      </c>
      <c r="I88" s="756"/>
      <c r="J88" s="756"/>
      <c r="K88" s="756"/>
      <c r="L88" s="426"/>
    </row>
    <row r="89" spans="1:27" ht="24.95" customHeight="1" thickBot="1" x14ac:dyDescent="0.25">
      <c r="B89" s="752" t="s">
        <v>351</v>
      </c>
      <c r="C89" s="753"/>
      <c r="D89" s="809" t="e">
        <f>H128</f>
        <v>#VALUE!</v>
      </c>
      <c r="E89" s="809"/>
      <c r="F89" s="809"/>
      <c r="G89" s="809"/>
      <c r="H89" s="809" t="e">
        <f>H136</f>
        <v>#VALUE!</v>
      </c>
      <c r="I89" s="809"/>
      <c r="J89" s="809"/>
      <c r="K89" s="809"/>
      <c r="L89" s="426" t="s">
        <v>159</v>
      </c>
    </row>
    <row r="90" spans="1:27" ht="24.95" customHeight="1" thickTop="1" thickBot="1" x14ac:dyDescent="0.25">
      <c r="B90" s="750" t="s">
        <v>376</v>
      </c>
      <c r="C90" s="751"/>
      <c r="D90" s="436"/>
      <c r="E90" s="436"/>
      <c r="F90" s="436"/>
      <c r="G90" s="436"/>
      <c r="H90" s="436"/>
      <c r="I90" s="436"/>
      <c r="J90" s="436"/>
      <c r="K90" s="437"/>
      <c r="L90" s="426"/>
    </row>
    <row r="91" spans="1:27" ht="24.95" customHeight="1" thickTop="1" x14ac:dyDescent="0.2">
      <c r="B91" s="754" t="s">
        <v>392</v>
      </c>
      <c r="C91" s="753"/>
      <c r="D91" s="755" t="e">
        <f>IF($D$72&gt;'SITE DATA'!F28,0,C125)</f>
        <v>#VALUE!</v>
      </c>
      <c r="E91" s="755"/>
      <c r="F91" s="755"/>
      <c r="G91" s="755"/>
      <c r="H91" s="755" t="e">
        <f>IF($H$72&gt;'SITE DATA'!F28,0,C133)</f>
        <v>#VALUE!</v>
      </c>
      <c r="I91" s="755"/>
      <c r="J91" s="755"/>
      <c r="K91" s="755"/>
      <c r="L91" s="566" t="s">
        <v>178</v>
      </c>
    </row>
    <row r="92" spans="1:27" ht="24.95" customHeight="1" x14ac:dyDescent="0.2">
      <c r="B92" s="752" t="s">
        <v>349</v>
      </c>
      <c r="C92" s="753"/>
      <c r="D92" s="756" t="e">
        <f>(D91/12)*($D$10*43560)</f>
        <v>#VALUE!</v>
      </c>
      <c r="E92" s="756"/>
      <c r="F92" s="756"/>
      <c r="G92" s="756"/>
      <c r="H92" s="756" t="e">
        <f>(H91/12)*($D$10*43560)</f>
        <v>#VALUE!</v>
      </c>
      <c r="I92" s="756"/>
      <c r="J92" s="756"/>
      <c r="K92" s="756"/>
      <c r="L92" s="426"/>
    </row>
    <row r="93" spans="1:27" ht="24.95" customHeight="1" thickBot="1" x14ac:dyDescent="0.25">
      <c r="B93" s="810" t="s">
        <v>352</v>
      </c>
      <c r="C93" s="811"/>
      <c r="D93" s="808" t="e">
        <f>H129</f>
        <v>#VALUE!</v>
      </c>
      <c r="E93" s="808"/>
      <c r="F93" s="808"/>
      <c r="G93" s="808"/>
      <c r="H93" s="808" t="e">
        <f>H137</f>
        <v>#VALUE!</v>
      </c>
      <c r="I93" s="808"/>
      <c r="J93" s="808"/>
      <c r="K93" s="808"/>
      <c r="L93" s="426"/>
    </row>
    <row r="94" spans="1:27" s="507" customFormat="1" ht="24.95" hidden="1" customHeight="1" thickTop="1" x14ac:dyDescent="0.2">
      <c r="B94" s="165"/>
      <c r="C94" s="165"/>
      <c r="D94" s="807" t="e">
        <f>IF($H$93&gt;$D$93,"Post-development peak flow exceeds pre-development peak flow for this DA!","")</f>
        <v>#VALUE!</v>
      </c>
      <c r="E94" s="807"/>
      <c r="F94" s="807"/>
      <c r="G94" s="807"/>
      <c r="H94" s="807"/>
      <c r="I94" s="807"/>
      <c r="J94" s="807"/>
      <c r="K94" s="807"/>
    </row>
    <row r="95" spans="1:27" s="507" customFormat="1" ht="15" hidden="1" customHeight="1" x14ac:dyDescent="0.2">
      <c r="B95" s="155"/>
      <c r="C95" s="165"/>
      <c r="D95" s="167"/>
      <c r="E95" s="167"/>
      <c r="F95" s="167"/>
      <c r="G95" s="167"/>
      <c r="H95" s="167"/>
      <c r="I95" s="167"/>
      <c r="J95" s="167"/>
      <c r="K95" s="167"/>
      <c r="L95" s="168"/>
    </row>
    <row r="96" spans="1:27" s="169" customFormat="1" ht="15.75" hidden="1" customHeight="1" x14ac:dyDescent="0.25">
      <c r="A96" s="216"/>
      <c r="B96" s="806" t="s">
        <v>126</v>
      </c>
      <c r="C96" s="806"/>
      <c r="D96" s="806"/>
      <c r="E96" s="806"/>
      <c r="F96" s="806"/>
      <c r="G96" s="806"/>
      <c r="H96" s="806"/>
      <c r="I96" s="806"/>
      <c r="J96" s="806"/>
      <c r="K96" s="806"/>
      <c r="L96" s="806"/>
      <c r="M96" s="216"/>
      <c r="N96" s="216"/>
      <c r="O96" s="216"/>
      <c r="P96" s="216"/>
      <c r="Q96" s="216"/>
      <c r="R96" s="216"/>
      <c r="S96" s="216"/>
      <c r="T96" s="216"/>
      <c r="U96" s="216"/>
      <c r="V96" s="216"/>
      <c r="W96" s="216"/>
      <c r="X96" s="216"/>
      <c r="Y96" s="216"/>
      <c r="Z96" s="216"/>
      <c r="AA96" s="216"/>
    </row>
    <row r="97" spans="2:14" s="507" customFormat="1" ht="15" hidden="1" customHeight="1" x14ac:dyDescent="0.2">
      <c r="K97" s="167"/>
      <c r="L97" s="168"/>
    </row>
    <row r="98" spans="2:14" ht="18.75" hidden="1" customHeight="1" thickBot="1" x14ac:dyDescent="0.25">
      <c r="B98" s="855" t="s">
        <v>133</v>
      </c>
      <c r="C98" s="856"/>
      <c r="D98" s="856"/>
      <c r="E98" s="856"/>
      <c r="F98" s="856"/>
      <c r="G98" s="856"/>
      <c r="H98" s="856"/>
      <c r="I98" s="856"/>
      <c r="J98" s="170"/>
      <c r="K98" s="507"/>
      <c r="L98" s="507"/>
    </row>
    <row r="99" spans="2:14" ht="60" hidden="1" customHeight="1" x14ac:dyDescent="0.2">
      <c r="B99" s="171" t="s">
        <v>14</v>
      </c>
      <c r="C99" s="172" t="s">
        <v>15</v>
      </c>
      <c r="D99" s="172" t="s">
        <v>16</v>
      </c>
      <c r="E99" s="172" t="s">
        <v>18</v>
      </c>
      <c r="F99" s="172" t="s">
        <v>17</v>
      </c>
      <c r="G99" s="224" t="s">
        <v>289</v>
      </c>
      <c r="H99" s="225" t="s">
        <v>290</v>
      </c>
      <c r="I99" s="250" t="s">
        <v>377</v>
      </c>
      <c r="J99" s="249"/>
      <c r="K99" s="508"/>
      <c r="L99" s="507"/>
    </row>
    <row r="100" spans="2:14" ht="15" hidden="1" customHeight="1" x14ac:dyDescent="0.2">
      <c r="B100" s="173" t="s">
        <v>12</v>
      </c>
      <c r="C100" s="568">
        <v>39</v>
      </c>
      <c r="D100" s="568">
        <v>61</v>
      </c>
      <c r="E100" s="568">
        <v>74</v>
      </c>
      <c r="F100" s="568">
        <v>80</v>
      </c>
      <c r="G100" s="567" t="e">
        <f t="shared" ref="G100:G107" si="0">(C100*D17)+(D100*E17)+(E100*F17)+(F100*G17)</f>
        <v>#VALUE!</v>
      </c>
      <c r="H100" s="569" t="e">
        <f>($C$100*$H$17)+($D$100*$I$17)+($E$100*$J$17)+($F$100*$K$17)</f>
        <v>#VALUE!</v>
      </c>
      <c r="I100" s="251" t="e">
        <f>($C$100*$H$17)+($D$100*$I$17)+($E$100*$J$17)+($F$100*$K$17)</f>
        <v>#VALUE!</v>
      </c>
      <c r="J100" s="508"/>
      <c r="K100" s="508"/>
      <c r="L100" s="507"/>
    </row>
    <row r="101" spans="2:14" ht="18" hidden="1" customHeight="1" x14ac:dyDescent="0.2">
      <c r="B101" s="173" t="s">
        <v>233</v>
      </c>
      <c r="C101" s="568">
        <v>45</v>
      </c>
      <c r="D101" s="568">
        <v>66</v>
      </c>
      <c r="E101" s="568">
        <v>77</v>
      </c>
      <c r="F101" s="568">
        <v>83</v>
      </c>
      <c r="G101" s="567">
        <f t="shared" si="0"/>
        <v>0</v>
      </c>
      <c r="H101" s="569">
        <f>($C$101*$H$18)+($D$101*$I$18)+($E$101*$J$18)+($F$101*$K$18)</f>
        <v>0</v>
      </c>
      <c r="I101" s="251">
        <f>($C$101*$H$18)+($D$101*$I$18)+($E$101*$J$18)+($F$101*$K$18)</f>
        <v>0</v>
      </c>
      <c r="J101" s="508"/>
      <c r="K101" s="508"/>
      <c r="L101" s="507"/>
    </row>
    <row r="102" spans="2:14" ht="18" hidden="1" customHeight="1" x14ac:dyDescent="0.2">
      <c r="B102" s="173" t="s">
        <v>235</v>
      </c>
      <c r="C102" s="568">
        <v>36</v>
      </c>
      <c r="D102" s="568">
        <v>60</v>
      </c>
      <c r="E102" s="568">
        <v>73</v>
      </c>
      <c r="F102" s="568">
        <v>79</v>
      </c>
      <c r="G102" s="567">
        <f t="shared" si="0"/>
        <v>0</v>
      </c>
      <c r="H102" s="569">
        <f>($C$102*$H$19)+($D$102*$I$19)+($E$102*$J$19)+($F$102*$K$19)</f>
        <v>0</v>
      </c>
      <c r="I102" s="251">
        <f>($C$102*$H$19)+($D$102*$I$19)+($E$102*$J$19)+($F$102*$K$19)</f>
        <v>0</v>
      </c>
      <c r="J102" s="508"/>
      <c r="K102" s="508"/>
      <c r="L102" s="507"/>
    </row>
    <row r="103" spans="2:14" ht="18" hidden="1" customHeight="1" x14ac:dyDescent="0.2">
      <c r="B103" s="173" t="s">
        <v>236</v>
      </c>
      <c r="C103" s="568">
        <v>30</v>
      </c>
      <c r="D103" s="568">
        <v>55</v>
      </c>
      <c r="E103" s="568">
        <v>70</v>
      </c>
      <c r="F103" s="568">
        <v>77</v>
      </c>
      <c r="G103" s="567">
        <f t="shared" si="0"/>
        <v>0</v>
      </c>
      <c r="H103" s="569">
        <f>($C$103*$H$20)+($D$103*$I$20)+($E$103*$J$20)+($F$103*$K$20)</f>
        <v>0</v>
      </c>
      <c r="I103" s="251">
        <f>($C$103*$H$20)+($D$103*$I$20)+($E$103*$J$20)+($F$103*$K$20)</f>
        <v>0</v>
      </c>
      <c r="J103" s="508"/>
      <c r="K103" s="508"/>
      <c r="L103" s="507"/>
    </row>
    <row r="104" spans="2:14" ht="18" hidden="1" customHeight="1" x14ac:dyDescent="0.2">
      <c r="B104" s="173" t="s">
        <v>234</v>
      </c>
      <c r="C104" s="568">
        <v>68</v>
      </c>
      <c r="D104" s="568">
        <v>79</v>
      </c>
      <c r="E104" s="568">
        <v>86</v>
      </c>
      <c r="F104" s="568">
        <v>89</v>
      </c>
      <c r="G104" s="567">
        <f t="shared" si="0"/>
        <v>0</v>
      </c>
      <c r="H104" s="569">
        <f>($C$104*$H$21)+($D$104*$I$21)+($E$104*$J$21)+($F$104*$K$21)</f>
        <v>0</v>
      </c>
      <c r="I104" s="251">
        <f>($C$104*$H$21)+($D$104*$I$21)+($E$104*$J$21)+($F$104*$K$21)</f>
        <v>0</v>
      </c>
      <c r="J104" s="508"/>
      <c r="K104" s="508"/>
      <c r="L104" s="507"/>
    </row>
    <row r="105" spans="2:14" ht="18" hidden="1" customHeight="1" x14ac:dyDescent="0.2">
      <c r="B105" s="173" t="s">
        <v>237</v>
      </c>
      <c r="C105" s="568">
        <v>49</v>
      </c>
      <c r="D105" s="568">
        <v>69</v>
      </c>
      <c r="E105" s="568">
        <v>79</v>
      </c>
      <c r="F105" s="568">
        <v>84</v>
      </c>
      <c r="G105" s="567">
        <f t="shared" si="0"/>
        <v>0</v>
      </c>
      <c r="H105" s="569">
        <f>($C$105*$H$22)+($D$105*$I$22)+($E$105*$J$22)+($F$105*$K$22)</f>
        <v>0</v>
      </c>
      <c r="I105" s="251">
        <f>($C$105*$H$22)+($D$105*$I$22)+($E$105*$J$22)+($F$105*$K$22)</f>
        <v>0</v>
      </c>
      <c r="J105" s="508"/>
      <c r="K105" s="508"/>
      <c r="L105" s="507"/>
    </row>
    <row r="106" spans="2:14" ht="18" hidden="1" customHeight="1" x14ac:dyDescent="0.2">
      <c r="B106" s="173" t="s">
        <v>238</v>
      </c>
      <c r="C106" s="568">
        <v>39</v>
      </c>
      <c r="D106" s="568">
        <v>61</v>
      </c>
      <c r="E106" s="568">
        <v>74</v>
      </c>
      <c r="F106" s="568">
        <v>80</v>
      </c>
      <c r="G106" s="567">
        <f t="shared" si="0"/>
        <v>0</v>
      </c>
      <c r="H106" s="569">
        <f>($C$106*$H$23)+($D$106*$I$23)+($E$106*$J$23)+($F$106*$K$23)</f>
        <v>0</v>
      </c>
      <c r="I106" s="251">
        <f>($C$106*$H$23)+($D$106*$I$23)+($E$106*$J$23)+($F$106*$K$23)</f>
        <v>0</v>
      </c>
      <c r="J106" s="508"/>
      <c r="K106" s="508"/>
      <c r="L106" s="507"/>
    </row>
    <row r="107" spans="2:14" ht="15" hidden="1" customHeight="1" x14ac:dyDescent="0.2">
      <c r="B107" s="173" t="s">
        <v>245</v>
      </c>
      <c r="C107" s="568">
        <v>30</v>
      </c>
      <c r="D107" s="568">
        <v>55</v>
      </c>
      <c r="E107" s="568">
        <v>70</v>
      </c>
      <c r="F107" s="568">
        <v>77</v>
      </c>
      <c r="G107" s="567">
        <f t="shared" si="0"/>
        <v>0</v>
      </c>
      <c r="H107" s="569">
        <f>($C$107*$H$24)+($D$107*$I$24)+($E$107*$J$24)+($F$107*$K$24)</f>
        <v>0</v>
      </c>
      <c r="I107" s="251">
        <f>($C$107*$H$24)+($D$107*$I$24)+($E$107*$J$24)+($F$107*$K$24)</f>
        <v>0</v>
      </c>
      <c r="J107" s="508"/>
      <c r="K107" s="508"/>
      <c r="L107" s="507"/>
    </row>
    <row r="108" spans="2:14" ht="18.75" hidden="1" customHeight="1" thickBot="1" x14ac:dyDescent="0.25">
      <c r="B108" s="175" t="s">
        <v>243</v>
      </c>
      <c r="C108" s="176">
        <v>98</v>
      </c>
      <c r="D108" s="176">
        <v>98</v>
      </c>
      <c r="E108" s="177">
        <v>98</v>
      </c>
      <c r="F108" s="177">
        <v>98</v>
      </c>
      <c r="G108" s="228">
        <f>(C108*(D26+D25))+(D108*(E26+E25))+(E108*(F26+F25))+(F108*(G26+G25))</f>
        <v>0</v>
      </c>
      <c r="H108" s="229">
        <f>($C$108*(H25+H26))+($D$108*(I25+I26))+($E$108*(J25+J26))+($F$108*(K25+K26))</f>
        <v>0</v>
      </c>
      <c r="I108" s="252">
        <f>($C$108*H26)+($D$108*I26)+($E$108*J26)+($F$108*K26)</f>
        <v>0</v>
      </c>
      <c r="J108" s="508" t="s">
        <v>370</v>
      </c>
      <c r="K108" s="508"/>
      <c r="L108" s="507"/>
    </row>
    <row r="109" spans="2:14" ht="15.75" hidden="1" customHeight="1" thickBot="1" x14ac:dyDescent="0.25">
      <c r="B109" s="178"/>
      <c r="C109" s="146"/>
      <c r="D109" s="146"/>
      <c r="E109" s="869" t="s">
        <v>265</v>
      </c>
      <c r="F109" s="870"/>
      <c r="G109" s="414" t="e">
        <f>ROUND((SUM(G100:G108)/SUM(D17:G26)),2)</f>
        <v>#VALUE!</v>
      </c>
      <c r="H109" s="414" t="e">
        <f>ROUND((SUM(H100:H108)/SUM(H17:K26)),2)</f>
        <v>#VALUE!</v>
      </c>
      <c r="I109" s="415" t="e">
        <f>ROUND(SUM(I100:I108)/(SUM(H17:K26)-SUM(H25:K25)),2)</f>
        <v>#VALUE!</v>
      </c>
      <c r="J109" s="508"/>
      <c r="K109" s="508"/>
      <c r="L109" s="507"/>
    </row>
    <row r="110" spans="2:14" ht="15" hidden="1" customHeight="1" x14ac:dyDescent="0.2">
      <c r="B110" s="509"/>
      <c r="C110" s="506"/>
      <c r="D110" s="506"/>
      <c r="E110" s="159"/>
      <c r="F110" s="159"/>
      <c r="G110" s="159"/>
      <c r="H110" s="506"/>
      <c r="I110" s="506"/>
      <c r="J110" s="507"/>
      <c r="K110" s="167"/>
      <c r="L110" s="168"/>
    </row>
    <row r="111" spans="2:14" ht="15.75" hidden="1" customHeight="1" thickBot="1" x14ac:dyDescent="0.25">
      <c r="B111" s="507"/>
      <c r="C111" s="507"/>
      <c r="D111" s="506"/>
      <c r="E111" s="507"/>
      <c r="F111" s="507"/>
      <c r="G111" s="507"/>
      <c r="H111" s="507"/>
      <c r="I111" s="507"/>
      <c r="J111" s="507"/>
      <c r="K111" s="507"/>
    </row>
    <row r="112" spans="2:14" ht="18.75" hidden="1" customHeight="1" thickBot="1" x14ac:dyDescent="0.3">
      <c r="B112" s="836" t="s">
        <v>383</v>
      </c>
      <c r="C112" s="837"/>
      <c r="D112" s="506"/>
      <c r="E112" s="849" t="s">
        <v>55</v>
      </c>
      <c r="F112" s="850"/>
      <c r="G112" s="850"/>
      <c r="H112" s="850"/>
      <c r="I112" s="850"/>
      <c r="J112" s="850"/>
      <c r="K112" s="850"/>
      <c r="L112" s="850"/>
      <c r="M112" s="850"/>
      <c r="N112" s="851"/>
    </row>
    <row r="113" spans="2:14" ht="15" hidden="1" customHeight="1" x14ac:dyDescent="0.2">
      <c r="B113" s="838"/>
      <c r="C113" s="839"/>
      <c r="D113" s="506"/>
      <c r="E113" s="865" t="s">
        <v>32</v>
      </c>
      <c r="F113" s="866"/>
      <c r="G113" s="866"/>
      <c r="H113" s="866"/>
      <c r="I113" s="866"/>
      <c r="J113" s="866"/>
      <c r="K113" s="866"/>
      <c r="L113" s="866"/>
      <c r="M113" s="866"/>
      <c r="N113" s="867"/>
    </row>
    <row r="114" spans="2:14" ht="18" hidden="1" customHeight="1" x14ac:dyDescent="0.2">
      <c r="B114" s="64"/>
      <c r="C114" s="113"/>
      <c r="D114" s="506"/>
      <c r="E114" s="265"/>
      <c r="F114" s="159"/>
      <c r="G114" s="266"/>
      <c r="H114" s="266"/>
      <c r="I114" s="266"/>
      <c r="J114" s="266"/>
      <c r="K114" s="510"/>
      <c r="L114" s="181"/>
      <c r="M114" s="506"/>
      <c r="N114" s="513"/>
    </row>
    <row r="115" spans="2:14" ht="20.25" hidden="1" customHeight="1" x14ac:dyDescent="0.35">
      <c r="B115" s="863" t="s">
        <v>40</v>
      </c>
      <c r="C115" s="864"/>
      <c r="D115" s="506"/>
      <c r="E115" s="265"/>
      <c r="F115" s="266"/>
      <c r="G115" s="267" t="s">
        <v>149</v>
      </c>
      <c r="H115" s="267"/>
      <c r="I115" s="268"/>
      <c r="J115" s="506" t="s">
        <v>138</v>
      </c>
      <c r="K115" s="510"/>
      <c r="L115" s="181"/>
      <c r="M115" s="506"/>
      <c r="N115" s="513"/>
    </row>
    <row r="116" spans="2:14" ht="60" hidden="1" customHeight="1" x14ac:dyDescent="0.2">
      <c r="B116" s="863" t="s">
        <v>22</v>
      </c>
      <c r="C116" s="864"/>
      <c r="D116" s="182" t="s">
        <v>304</v>
      </c>
      <c r="E116" s="265"/>
      <c r="F116" s="266"/>
      <c r="G116" s="267" t="s">
        <v>33</v>
      </c>
      <c r="H116" s="267"/>
      <c r="I116" s="267"/>
      <c r="J116" s="510"/>
      <c r="K116" s="267" t="s">
        <v>33</v>
      </c>
      <c r="L116" s="181"/>
      <c r="M116" s="506"/>
      <c r="N116" s="513"/>
    </row>
    <row r="117" spans="2:14" ht="19.5" hidden="1" customHeight="1" x14ac:dyDescent="0.35">
      <c r="B117" s="183" t="s">
        <v>45</v>
      </c>
      <c r="C117" s="184"/>
      <c r="D117" s="506"/>
      <c r="E117" s="265"/>
      <c r="F117" s="266"/>
      <c r="G117" s="267" t="s">
        <v>128</v>
      </c>
      <c r="H117" s="267"/>
      <c r="I117" s="267"/>
      <c r="J117" s="266"/>
      <c r="K117" s="506" t="s">
        <v>139</v>
      </c>
      <c r="L117" s="181"/>
      <c r="M117" s="506"/>
      <c r="N117" s="513"/>
    </row>
    <row r="118" spans="2:14" ht="19.5" hidden="1" customHeight="1" x14ac:dyDescent="0.35">
      <c r="B118" s="183" t="s">
        <v>41</v>
      </c>
      <c r="C118" s="114"/>
      <c r="D118" s="506"/>
      <c r="E118" s="265"/>
      <c r="F118" s="181"/>
      <c r="G118" s="267" t="s">
        <v>158</v>
      </c>
      <c r="H118" s="268"/>
      <c r="I118" s="268"/>
      <c r="J118" s="268"/>
      <c r="K118" s="506" t="s">
        <v>140</v>
      </c>
      <c r="L118" s="181"/>
      <c r="M118" s="506"/>
      <c r="N118" s="513"/>
    </row>
    <row r="119" spans="2:14" ht="20.25" hidden="1" customHeight="1" x14ac:dyDescent="0.35">
      <c r="B119" s="185"/>
      <c r="C119" s="184"/>
      <c r="D119" s="506"/>
      <c r="E119" s="265"/>
      <c r="F119" s="266"/>
      <c r="G119" s="267" t="s">
        <v>130</v>
      </c>
      <c r="H119" s="267"/>
      <c r="I119" s="267"/>
      <c r="J119" s="266"/>
      <c r="K119" s="510"/>
      <c r="L119" s="269"/>
      <c r="M119" s="506"/>
      <c r="N119" s="513"/>
    </row>
    <row r="120" spans="2:14" ht="15" hidden="1" customHeight="1" x14ac:dyDescent="0.2">
      <c r="B120" s="186" t="s">
        <v>48</v>
      </c>
      <c r="C120" s="184"/>
      <c r="D120" s="506"/>
      <c r="E120" s="265"/>
      <c r="F120" s="266"/>
      <c r="G120" s="267" t="s">
        <v>34</v>
      </c>
      <c r="H120" s="267"/>
      <c r="I120" s="267"/>
      <c r="J120" s="266"/>
      <c r="K120" s="510"/>
      <c r="L120" s="269"/>
      <c r="M120" s="506"/>
      <c r="N120" s="513"/>
    </row>
    <row r="121" spans="2:14" ht="19.5" hidden="1" customHeight="1" x14ac:dyDescent="0.35">
      <c r="B121" s="51" t="s">
        <v>20</v>
      </c>
      <c r="C121" s="187" t="s">
        <v>42</v>
      </c>
      <c r="D121" s="506"/>
      <c r="E121" s="265"/>
      <c r="F121" s="159"/>
      <c r="G121" s="267" t="s">
        <v>150</v>
      </c>
      <c r="H121" s="506"/>
      <c r="I121" s="506"/>
      <c r="J121" s="270"/>
      <c r="K121" s="506"/>
      <c r="L121" s="271"/>
      <c r="M121" s="506"/>
      <c r="N121" s="513"/>
    </row>
    <row r="122" spans="2:14" ht="15.75" hidden="1" customHeight="1" x14ac:dyDescent="0.2">
      <c r="B122" s="51" t="s">
        <v>20</v>
      </c>
      <c r="C122" s="115" t="e">
        <f>(1000/$G$109)-10</f>
        <v>#VALUE!</v>
      </c>
      <c r="D122" s="506"/>
      <c r="E122" s="860" t="s">
        <v>35</v>
      </c>
      <c r="F122" s="861"/>
      <c r="G122" s="861"/>
      <c r="H122" s="861"/>
      <c r="I122" s="861"/>
      <c r="J122" s="861"/>
      <c r="K122" s="861"/>
      <c r="L122" s="861"/>
      <c r="M122" s="861"/>
      <c r="N122" s="862"/>
    </row>
    <row r="123" spans="2:14" ht="19.5" hidden="1" customHeight="1" x14ac:dyDescent="0.25">
      <c r="B123" s="188" t="s">
        <v>330</v>
      </c>
      <c r="C123" s="76" t="e">
        <f>(($D$11-(0.2*$C$122))^2)/($D$11+(0.8*$C$122))</f>
        <v>#VALUE!</v>
      </c>
      <c r="D123" s="506"/>
      <c r="E123" s="265"/>
      <c r="F123" s="272"/>
      <c r="G123" s="269" t="s">
        <v>61</v>
      </c>
      <c r="H123" s="273" t="e">
        <f>N125</f>
        <v>#VALUE!</v>
      </c>
      <c r="I123" s="269" t="s">
        <v>36</v>
      </c>
      <c r="J123" s="506"/>
      <c r="K123" s="511" t="s">
        <v>141</v>
      </c>
      <c r="L123" s="190" t="e">
        <f>IF(D73&gt;0.475,$J$147,IF(D73&gt;0.425,$J$146,IF(D73&gt;0.375,$J$145,IF(D73&gt;0.325,$J$144,IF(D73&gt;0.2,$J$143,$J$142)))))</f>
        <v>#VALUE!</v>
      </c>
      <c r="M123" s="191"/>
      <c r="N123" s="232"/>
    </row>
    <row r="124" spans="2:14" ht="19.5" hidden="1" customHeight="1" x14ac:dyDescent="0.35">
      <c r="B124" s="188" t="s">
        <v>331</v>
      </c>
      <c r="C124" s="76" t="e">
        <f>(($D$12-(0.2*$C$122))^2)/($D$12+(0.8*$C$122))</f>
        <v>#VALUE!</v>
      </c>
      <c r="D124" s="506"/>
      <c r="E124" s="274"/>
      <c r="F124" s="272"/>
      <c r="G124" s="269" t="s">
        <v>62</v>
      </c>
      <c r="H124" s="275" t="e">
        <f>(D9/640)</f>
        <v>#VALUE!</v>
      </c>
      <c r="I124" s="269" t="s">
        <v>63</v>
      </c>
      <c r="J124" s="506"/>
      <c r="K124" s="511" t="s">
        <v>142</v>
      </c>
      <c r="L124" s="192" t="e">
        <f>IF(L123=J142,K142,IF(L123=J143,K143,IF(L123=J144,K144,IF(L123=J145,K145,IF(L123=J146,K146,IF(L123=J147,K147,""))))))</f>
        <v>#VALUE!</v>
      </c>
      <c r="M124" s="165" t="s">
        <v>145</v>
      </c>
      <c r="N124" s="513" t="e">
        <f>L124+(L125*LOG(N126))+(L126*((LOG(N126))^2))</f>
        <v>#VALUE!</v>
      </c>
    </row>
    <row r="125" spans="2:14" ht="19.5" hidden="1" customHeight="1" x14ac:dyDescent="0.35">
      <c r="B125" s="188" t="s">
        <v>332</v>
      </c>
      <c r="C125" s="76" t="e">
        <f>(($D$13-(0.2*$C$122))^2)/($D$13+(0.8*$C$122))</f>
        <v>#VALUE!</v>
      </c>
      <c r="D125" s="506"/>
      <c r="E125" s="276" t="s">
        <v>151</v>
      </c>
      <c r="F125" s="277" t="e">
        <f>($D$15/$D$9)*100</f>
        <v>#VALUE!</v>
      </c>
      <c r="G125" s="278" t="s">
        <v>169</v>
      </c>
      <c r="H125" s="273" t="e">
        <f>IF($F$125&gt;4.44,$N$157,IF($F$125&gt;2.44,$N$156,IF($F$125&gt;0.45,$N$155,IF($F$125&gt;0.144,$N$154,1))))</f>
        <v>#VALUE!</v>
      </c>
      <c r="I125" s="269"/>
      <c r="J125" s="506"/>
      <c r="K125" s="511" t="s">
        <v>143</v>
      </c>
      <c r="L125" s="192" t="e">
        <f>IF($L$123=J142,L142,IF($L$123=J143,L143,IF($L$123=J144,L144,IF($L$123=J145,L145,IF($L$123=J146,L146,IF($L$123=J147,L147,""))))))</f>
        <v>#VALUE!</v>
      </c>
      <c r="M125" s="165" t="s">
        <v>146</v>
      </c>
      <c r="N125" s="513" t="e">
        <f>10^N124</f>
        <v>#VALUE!</v>
      </c>
    </row>
    <row r="126" spans="2:14" ht="19.5" hidden="1" customHeight="1" x14ac:dyDescent="0.35">
      <c r="B126" s="186" t="s">
        <v>49</v>
      </c>
      <c r="C126" s="184"/>
      <c r="D126" s="506"/>
      <c r="E126" s="233"/>
      <c r="F126" s="234"/>
      <c r="G126" s="234"/>
      <c r="H126" s="234"/>
      <c r="I126" s="234"/>
      <c r="J126" s="506"/>
      <c r="K126" s="511" t="s">
        <v>144</v>
      </c>
      <c r="L126" s="192" t="e">
        <f>IF($L$123=J142,M142,IF($L$123=J143,M143,IF($L$123=J144,M144,IF($L$123=J145,M145,IF($L$123=J146,M146,IF($L$123=J147,M147,""))))))</f>
        <v>#VALUE!</v>
      </c>
      <c r="M126" s="165" t="s">
        <v>72</v>
      </c>
      <c r="N126" s="235" t="e">
        <f>D70</f>
        <v>#VALUE!</v>
      </c>
    </row>
    <row r="127" spans="2:14" ht="18.75" hidden="1" customHeight="1" x14ac:dyDescent="0.2">
      <c r="B127" s="186"/>
      <c r="C127" s="184"/>
      <c r="D127" s="506"/>
      <c r="E127" s="276"/>
      <c r="F127" s="277"/>
      <c r="G127" s="279" t="s">
        <v>37</v>
      </c>
      <c r="H127" s="280" t="e">
        <f>$H$124*C123*$H$125*$H$123</f>
        <v>#VALUE!</v>
      </c>
      <c r="I127" s="279" t="s">
        <v>38</v>
      </c>
      <c r="J127" s="506"/>
      <c r="K127" s="511"/>
      <c r="L127" s="192"/>
      <c r="M127" s="165"/>
      <c r="N127" s="235"/>
    </row>
    <row r="128" spans="2:14" ht="18.75" hidden="1" customHeight="1" x14ac:dyDescent="0.2">
      <c r="B128" s="186"/>
      <c r="C128" s="184"/>
      <c r="D128" s="506"/>
      <c r="E128" s="276"/>
      <c r="F128" s="277"/>
      <c r="G128" s="279" t="s">
        <v>327</v>
      </c>
      <c r="H128" s="280" t="e">
        <f>$H$124*C124*$H$125*$H$123</f>
        <v>#VALUE!</v>
      </c>
      <c r="I128" s="279" t="s">
        <v>38</v>
      </c>
      <c r="J128" s="506"/>
      <c r="K128" s="511"/>
      <c r="L128" s="192"/>
      <c r="M128" s="165"/>
      <c r="N128" s="235"/>
    </row>
    <row r="129" spans="2:14" ht="18.75" hidden="1" customHeight="1" x14ac:dyDescent="0.2">
      <c r="B129" s="51" t="s">
        <v>20</v>
      </c>
      <c r="C129" s="187" t="s">
        <v>42</v>
      </c>
      <c r="D129" s="506"/>
      <c r="E129" s="265"/>
      <c r="F129" s="281"/>
      <c r="G129" s="279" t="s">
        <v>328</v>
      </c>
      <c r="H129" s="280" t="e">
        <f>$H$124*C125*$H$125*$H$123</f>
        <v>#VALUE!</v>
      </c>
      <c r="I129" s="279" t="s">
        <v>38</v>
      </c>
      <c r="J129" s="506"/>
      <c r="K129" s="506"/>
      <c r="L129" s="159"/>
      <c r="M129" s="506"/>
      <c r="N129" s="202"/>
    </row>
    <row r="130" spans="2:14" ht="15.75" hidden="1" customHeight="1" x14ac:dyDescent="0.25">
      <c r="B130" s="51" t="s">
        <v>20</v>
      </c>
      <c r="C130" s="115" t="e">
        <f>(1000/D77)-10</f>
        <v>#VALUE!</v>
      </c>
      <c r="D130" s="506"/>
      <c r="E130" s="857" t="s">
        <v>47</v>
      </c>
      <c r="F130" s="858"/>
      <c r="G130" s="858"/>
      <c r="H130" s="858"/>
      <c r="I130" s="858"/>
      <c r="J130" s="858"/>
      <c r="K130" s="858"/>
      <c r="L130" s="858"/>
      <c r="M130" s="858"/>
      <c r="N130" s="859"/>
    </row>
    <row r="131" spans="2:14" ht="19.5" hidden="1" customHeight="1" x14ac:dyDescent="0.25">
      <c r="B131" s="188" t="s">
        <v>330</v>
      </c>
      <c r="C131" s="76" t="e">
        <f>($D$11-(0.2*$C$130))^2/($D$11+(0.8*$C$130))</f>
        <v>#VALUE!</v>
      </c>
      <c r="D131" s="506"/>
      <c r="E131" s="282"/>
      <c r="F131" s="272"/>
      <c r="G131" s="269" t="s">
        <v>61</v>
      </c>
      <c r="H131" s="273" t="e">
        <f>N133</f>
        <v>#VALUE!</v>
      </c>
      <c r="I131" s="269" t="s">
        <v>36</v>
      </c>
      <c r="J131" s="506"/>
      <c r="K131" s="511" t="s">
        <v>141</v>
      </c>
      <c r="L131" s="190" t="e">
        <f>IF(H73&gt;0.475,$J$147,IF(H73&gt;0.425,$J$146,IF(H73&gt;0.375,$J$145,IF(H73&gt;0.325,$J$144,IF(H73&gt;0.2,$J$143,$J$142)))))</f>
        <v>#VALUE!</v>
      </c>
      <c r="M131" s="506"/>
      <c r="N131" s="202"/>
    </row>
    <row r="132" spans="2:14" ht="19.5" hidden="1" customHeight="1" x14ac:dyDescent="0.35">
      <c r="B132" s="188" t="s">
        <v>331</v>
      </c>
      <c r="C132" s="76" t="e">
        <f>($D$12-(0.2*$C$130))^2/($D$12+(0.8*$C$130))</f>
        <v>#VALUE!</v>
      </c>
      <c r="D132" s="506"/>
      <c r="E132" s="265"/>
      <c r="F132" s="283"/>
      <c r="G132" s="269" t="s">
        <v>62</v>
      </c>
      <c r="H132" s="275" t="e">
        <f>(H9/640)</f>
        <v>#VALUE!</v>
      </c>
      <c r="I132" s="269" t="s">
        <v>63</v>
      </c>
      <c r="J132" s="506"/>
      <c r="K132" s="511" t="s">
        <v>142</v>
      </c>
      <c r="L132" s="192" t="e">
        <f>IF($L$131=J142,K142,IF($L$131=J143,K143,IF($L$131=J144,K144,IF($L$131=J145,K145,IF($L$131=J146,K146,IF($L$131=J147,K147,""))))))</f>
        <v>#VALUE!</v>
      </c>
      <c r="M132" s="165" t="s">
        <v>145</v>
      </c>
      <c r="N132" s="202" t="e">
        <f>L132+(L133*LOG(N134))+(L134*((LOG(N134))^2))</f>
        <v>#VALUE!</v>
      </c>
    </row>
    <row r="133" spans="2:14" ht="20.25" hidden="1" customHeight="1" thickBot="1" x14ac:dyDescent="0.4">
      <c r="B133" s="193" t="s">
        <v>332</v>
      </c>
      <c r="C133" s="138" t="e">
        <f>($D$13-(0.2*$C$130))^2/($D$13+(0.8*$C$130))</f>
        <v>#VALUE!</v>
      </c>
      <c r="D133" s="506"/>
      <c r="E133" s="276" t="s">
        <v>151</v>
      </c>
      <c r="F133" s="277" t="e">
        <f>($H$15/$H$9)*100</f>
        <v>#VALUE!</v>
      </c>
      <c r="G133" s="278" t="s">
        <v>169</v>
      </c>
      <c r="H133" s="273" t="e">
        <f>IF(F133&gt;4.44,$N$157,IF(F133&gt;2.44,$N$156,IF(F133&gt;0.45,$N$155,IF(F133&gt;0.144,$N$154,1))))</f>
        <v>#VALUE!</v>
      </c>
      <c r="I133" s="279" t="s">
        <v>38</v>
      </c>
      <c r="J133" s="506"/>
      <c r="K133" s="511" t="s">
        <v>143</v>
      </c>
      <c r="L133" s="192" t="e">
        <f>IF($L$131=J142,L142,IF($L$131=J143,L143,IF($L$131=J144,L144,IF($L$131=J145,L145,IF($L$131=J146,L146,IF($L$131=J147,L147,""))))))</f>
        <v>#VALUE!</v>
      </c>
      <c r="M133" s="165" t="s">
        <v>146</v>
      </c>
      <c r="N133" s="202" t="e">
        <f>10^N132</f>
        <v>#VALUE!</v>
      </c>
    </row>
    <row r="134" spans="2:14" ht="19.5" hidden="1" customHeight="1" x14ac:dyDescent="0.35">
      <c r="B134" s="74"/>
      <c r="C134" s="93"/>
      <c r="D134" s="194"/>
      <c r="E134" s="276"/>
      <c r="F134" s="277"/>
      <c r="G134" s="278"/>
      <c r="H134" s="273"/>
      <c r="I134" s="279"/>
      <c r="J134" s="506"/>
      <c r="K134" s="511" t="s">
        <v>144</v>
      </c>
      <c r="L134" s="192" t="e">
        <f>IF($L$131=J142,M142,IF($L$131=J143,M143,IF($L$131=J144,M144,IF($L$131=J145,M145,IF($L$131=J146,M146,IF($L$131=J147,M147,""))))))</f>
        <v>#VALUE!</v>
      </c>
      <c r="M134" s="165" t="s">
        <v>72</v>
      </c>
      <c r="N134" s="235" t="e">
        <f>H70</f>
        <v>#VALUE!</v>
      </c>
    </row>
    <row r="135" spans="2:14" ht="18.75" hidden="1" customHeight="1" x14ac:dyDescent="0.25">
      <c r="B135" s="74"/>
      <c r="C135" s="93"/>
      <c r="D135" s="194"/>
      <c r="E135" s="276"/>
      <c r="F135" s="277"/>
      <c r="G135" s="279" t="s">
        <v>37</v>
      </c>
      <c r="H135" s="280" t="e">
        <f>$H$132*$C$131*$H$133*$H$131</f>
        <v>#VALUE!</v>
      </c>
      <c r="I135" s="279" t="s">
        <v>38</v>
      </c>
      <c r="J135" s="506"/>
      <c r="K135" s="511"/>
      <c r="L135" s="192"/>
      <c r="M135" s="165"/>
      <c r="N135" s="235"/>
    </row>
    <row r="136" spans="2:14" ht="18.75" hidden="1" customHeight="1" x14ac:dyDescent="0.25">
      <c r="B136" s="74"/>
      <c r="C136" s="93"/>
      <c r="D136" s="194"/>
      <c r="E136" s="276"/>
      <c r="F136" s="277"/>
      <c r="G136" s="279" t="s">
        <v>327</v>
      </c>
      <c r="H136" s="280" t="e">
        <f>$H$132*$C$132*$H$133*$H$131</f>
        <v>#VALUE!</v>
      </c>
      <c r="I136" s="279" t="s">
        <v>38</v>
      </c>
      <c r="J136" s="506"/>
      <c r="K136" s="511"/>
      <c r="L136" s="192"/>
      <c r="M136" s="165"/>
      <c r="N136" s="235"/>
    </row>
    <row r="137" spans="2:14" ht="19.5" hidden="1" customHeight="1" thickBot="1" x14ac:dyDescent="0.25">
      <c r="B137" s="195"/>
      <c r="C137" s="75"/>
      <c r="D137" s="506"/>
      <c r="E137" s="211"/>
      <c r="F137" s="501"/>
      <c r="G137" s="285" t="s">
        <v>328</v>
      </c>
      <c r="H137" s="284" t="e">
        <f>$H$132*$C$133*$H$133*$H$131</f>
        <v>#VALUE!</v>
      </c>
      <c r="I137" s="285" t="s">
        <v>38</v>
      </c>
      <c r="J137" s="501"/>
      <c r="K137" s="501"/>
      <c r="L137" s="236"/>
      <c r="M137" s="501"/>
      <c r="N137" s="222"/>
    </row>
    <row r="138" spans="2:14" ht="15.75" hidden="1" customHeight="1" thickBot="1" x14ac:dyDescent="0.25">
      <c r="B138" s="507"/>
      <c r="C138" s="507"/>
      <c r="D138" s="507"/>
      <c r="E138" s="160"/>
      <c r="F138" s="160"/>
      <c r="G138" s="160"/>
      <c r="H138" s="507"/>
      <c r="I138" s="198"/>
      <c r="J138" s="506"/>
      <c r="K138" s="506"/>
      <c r="L138" s="159"/>
      <c r="M138" s="506"/>
      <c r="N138" s="465"/>
    </row>
    <row r="139" spans="2:14" ht="15.75" hidden="1" customHeight="1" thickBot="1" x14ac:dyDescent="0.25">
      <c r="B139" s="507"/>
      <c r="C139" s="507"/>
      <c r="D139" s="507"/>
      <c r="E139" s="160"/>
      <c r="F139" s="160"/>
      <c r="G139" s="160"/>
      <c r="H139" s="507"/>
      <c r="I139" s="198"/>
      <c r="J139" s="871" t="s">
        <v>152</v>
      </c>
      <c r="K139" s="872"/>
      <c r="L139" s="872"/>
      <c r="M139" s="873"/>
      <c r="N139" s="466"/>
    </row>
    <row r="140" spans="2:14" ht="15.75" hidden="1" customHeight="1" thickBot="1" x14ac:dyDescent="0.25">
      <c r="B140" s="840" t="s">
        <v>84</v>
      </c>
      <c r="C140" s="841"/>
      <c r="D140" s="841"/>
      <c r="E140" s="841"/>
      <c r="F140" s="841"/>
      <c r="G140" s="842"/>
      <c r="H140" s="507"/>
      <c r="I140" s="198"/>
      <c r="J140" s="874"/>
      <c r="K140" s="875"/>
      <c r="L140" s="875"/>
      <c r="M140" s="876"/>
      <c r="N140" s="467"/>
    </row>
    <row r="141" spans="2:14" ht="15.75" hidden="1" customHeight="1" thickBot="1" x14ac:dyDescent="0.25">
      <c r="B141" s="846"/>
      <c r="C141" s="847"/>
      <c r="D141" s="847"/>
      <c r="E141" s="847"/>
      <c r="F141" s="847"/>
      <c r="G141" s="848"/>
      <c r="H141" s="507"/>
      <c r="I141" s="198"/>
      <c r="J141" s="91" t="s">
        <v>135</v>
      </c>
      <c r="K141" s="92" t="s">
        <v>136</v>
      </c>
      <c r="L141" s="92" t="s">
        <v>137</v>
      </c>
      <c r="M141" s="468" t="s">
        <v>525</v>
      </c>
      <c r="N141" s="469"/>
    </row>
    <row r="142" spans="2:14" ht="15.75" hidden="1" customHeight="1" x14ac:dyDescent="0.2">
      <c r="B142" s="199" t="s">
        <v>81</v>
      </c>
      <c r="C142" s="200"/>
      <c r="D142" s="200"/>
      <c r="E142" s="200"/>
      <c r="F142" s="200"/>
      <c r="G142" s="201" t="s">
        <v>82</v>
      </c>
      <c r="H142" s="507"/>
      <c r="I142" s="198"/>
      <c r="J142" s="88">
        <v>0.1</v>
      </c>
      <c r="K142" s="87">
        <v>2.5532300000000001</v>
      </c>
      <c r="L142" s="87">
        <v>-0.61512</v>
      </c>
      <c r="M142" s="470">
        <v>-0.16403000000000001</v>
      </c>
      <c r="N142" s="469"/>
    </row>
    <row r="143" spans="2:14" ht="15" hidden="1" customHeight="1" x14ac:dyDescent="0.2">
      <c r="B143" s="178" t="s">
        <v>91</v>
      </c>
      <c r="C143" s="146"/>
      <c r="D143" s="146"/>
      <c r="E143" s="146"/>
      <c r="F143" s="146"/>
      <c r="G143" s="202">
        <v>1.0999999999999999E-2</v>
      </c>
      <c r="H143" s="507"/>
      <c r="I143" s="198"/>
      <c r="J143" s="88">
        <v>0.3</v>
      </c>
      <c r="K143" s="87">
        <v>2.4653200000000002</v>
      </c>
      <c r="L143" s="87">
        <v>-0.62256999999999996</v>
      </c>
      <c r="M143" s="470">
        <v>-0.11656999999999999</v>
      </c>
      <c r="N143" s="469"/>
    </row>
    <row r="144" spans="2:14" ht="15" hidden="1" customHeight="1" x14ac:dyDescent="0.2">
      <c r="B144" s="178" t="s">
        <v>83</v>
      </c>
      <c r="C144" s="146"/>
      <c r="D144" s="146"/>
      <c r="E144" s="146"/>
      <c r="F144" s="146"/>
      <c r="G144" s="202">
        <v>0.24</v>
      </c>
      <c r="H144" s="507"/>
      <c r="I144" s="198"/>
      <c r="J144" s="88">
        <v>0.35</v>
      </c>
      <c r="K144" s="87">
        <v>2.4189600000000002</v>
      </c>
      <c r="L144" s="87">
        <v>-0.61594000000000004</v>
      </c>
      <c r="M144" s="470">
        <v>-8.8200000000000001E-2</v>
      </c>
      <c r="N144" s="469"/>
    </row>
    <row r="145" spans="2:14" ht="15.75" hidden="1" customHeight="1" thickBot="1" x14ac:dyDescent="0.25">
      <c r="B145" s="203" t="s">
        <v>13</v>
      </c>
      <c r="C145" s="204"/>
      <c r="D145" s="204"/>
      <c r="E145" s="204"/>
      <c r="F145" s="204"/>
      <c r="G145" s="205">
        <v>0.4</v>
      </c>
      <c r="H145" s="507"/>
      <c r="I145" s="198"/>
      <c r="J145" s="88">
        <v>0.4</v>
      </c>
      <c r="K145" s="87">
        <v>2.36409</v>
      </c>
      <c r="L145" s="87">
        <v>-0.59857000000000005</v>
      </c>
      <c r="M145" s="470">
        <v>-5.6210000000000003E-2</v>
      </c>
      <c r="N145" s="471"/>
    </row>
    <row r="146" spans="2:14" ht="15.75" hidden="1" customHeight="1" thickBot="1" x14ac:dyDescent="0.25">
      <c r="B146" s="507"/>
      <c r="C146" s="507"/>
      <c r="D146" s="507"/>
      <c r="E146" s="160"/>
      <c r="F146" s="160"/>
      <c r="G146" s="160"/>
      <c r="H146" s="507"/>
      <c r="I146" s="198"/>
      <c r="J146" s="88">
        <v>0.45</v>
      </c>
      <c r="K146" s="87">
        <v>2.2923800000000001</v>
      </c>
      <c r="L146" s="87">
        <v>-0.57004999999999995</v>
      </c>
      <c r="M146" s="470">
        <v>-2.281E-2</v>
      </c>
      <c r="N146" s="472"/>
    </row>
    <row r="147" spans="2:14" ht="15.75" hidden="1" customHeight="1" thickBot="1" x14ac:dyDescent="0.25">
      <c r="B147" s="840" t="s">
        <v>216</v>
      </c>
      <c r="C147" s="841"/>
      <c r="D147" s="841"/>
      <c r="E147" s="841"/>
      <c r="F147" s="841"/>
      <c r="G147" s="842"/>
      <c r="H147" s="507"/>
      <c r="I147" s="198"/>
      <c r="J147" s="89">
        <v>0.5</v>
      </c>
      <c r="K147" s="90">
        <v>2.20282</v>
      </c>
      <c r="L147" s="90">
        <v>-0.51598999999999995</v>
      </c>
      <c r="M147" s="473">
        <v>-1.259E-2</v>
      </c>
      <c r="N147" s="474"/>
    </row>
    <row r="148" spans="2:14" ht="15.75" hidden="1" customHeight="1" thickBot="1" x14ac:dyDescent="0.25">
      <c r="B148" s="843"/>
      <c r="C148" s="844"/>
      <c r="D148" s="844"/>
      <c r="E148" s="844"/>
      <c r="F148" s="844"/>
      <c r="G148" s="845"/>
      <c r="H148" s="507"/>
      <c r="I148" s="198"/>
      <c r="J148" s="105"/>
      <c r="K148" s="112"/>
      <c r="L148" s="107"/>
      <c r="M148" s="106"/>
      <c r="N148" s="474"/>
    </row>
    <row r="149" spans="2:14" ht="15.75" hidden="1" customHeight="1" thickBot="1" x14ac:dyDescent="0.25">
      <c r="B149" s="846"/>
      <c r="C149" s="847"/>
      <c r="D149" s="847"/>
      <c r="E149" s="847"/>
      <c r="F149" s="847"/>
      <c r="G149" s="848"/>
      <c r="H149" s="507"/>
      <c r="I149" s="877" t="s">
        <v>148</v>
      </c>
      <c r="J149" s="841"/>
      <c r="K149" s="841"/>
      <c r="L149" s="841"/>
      <c r="M149" s="841"/>
      <c r="N149" s="878"/>
    </row>
    <row r="150" spans="2:14" ht="15.75" hidden="1" customHeight="1" x14ac:dyDescent="0.25">
      <c r="B150" s="207" t="s">
        <v>117</v>
      </c>
      <c r="C150" s="512"/>
      <c r="D150" s="512"/>
      <c r="E150" s="512"/>
      <c r="F150" s="512"/>
      <c r="G150" s="208" t="s">
        <v>82</v>
      </c>
      <c r="H150" s="507"/>
      <c r="I150" s="879"/>
      <c r="J150" s="844"/>
      <c r="K150" s="844"/>
      <c r="L150" s="844"/>
      <c r="M150" s="844"/>
      <c r="N150" s="880"/>
    </row>
    <row r="151" spans="2:14" ht="15.75" hidden="1" customHeight="1" thickBot="1" x14ac:dyDescent="0.25">
      <c r="B151" s="509" t="s">
        <v>118</v>
      </c>
      <c r="C151" s="506"/>
      <c r="D151" s="506"/>
      <c r="E151" s="506"/>
      <c r="F151" s="506"/>
      <c r="G151" s="202">
        <v>1.6E-2</v>
      </c>
      <c r="H151" s="507"/>
      <c r="I151" s="881"/>
      <c r="J151" s="847"/>
      <c r="K151" s="847"/>
      <c r="L151" s="847"/>
      <c r="M151" s="847"/>
      <c r="N151" s="882"/>
    </row>
    <row r="152" spans="2:14" ht="18.75" hidden="1" customHeight="1" x14ac:dyDescent="0.25">
      <c r="B152" s="509" t="s">
        <v>119</v>
      </c>
      <c r="C152" s="506"/>
      <c r="D152" s="506"/>
      <c r="E152" s="506"/>
      <c r="F152" s="506"/>
      <c r="G152" s="202">
        <v>1.2E-2</v>
      </c>
      <c r="H152" s="507"/>
      <c r="I152" s="209" t="s">
        <v>147</v>
      </c>
      <c r="J152" s="512"/>
      <c r="K152" s="512"/>
      <c r="L152" s="197"/>
      <c r="M152" s="512"/>
      <c r="N152" s="475" t="s">
        <v>526</v>
      </c>
    </row>
    <row r="153" spans="2:14" ht="15" hidden="1" customHeight="1" x14ac:dyDescent="0.2">
      <c r="B153" s="509" t="s">
        <v>120</v>
      </c>
      <c r="C153" s="506"/>
      <c r="D153" s="506"/>
      <c r="E153" s="506"/>
      <c r="F153" s="506"/>
      <c r="G153" s="202">
        <v>1.4E-2</v>
      </c>
      <c r="H153" s="507"/>
      <c r="I153" s="210">
        <v>0</v>
      </c>
      <c r="J153" s="506"/>
      <c r="K153" s="506"/>
      <c r="L153" s="160" t="s">
        <v>153</v>
      </c>
      <c r="M153" s="506"/>
      <c r="N153" s="476">
        <v>1</v>
      </c>
    </row>
    <row r="154" spans="2:14" ht="15" hidden="1" customHeight="1" x14ac:dyDescent="0.2">
      <c r="B154" s="509" t="s">
        <v>83</v>
      </c>
      <c r="C154" s="506"/>
      <c r="D154" s="506"/>
      <c r="E154" s="506"/>
      <c r="F154" s="506"/>
      <c r="G154" s="202">
        <v>3.5000000000000003E-2</v>
      </c>
      <c r="H154" s="507"/>
      <c r="I154" s="210">
        <v>0.2</v>
      </c>
      <c r="J154" s="506"/>
      <c r="K154" s="506"/>
      <c r="L154" s="159" t="s">
        <v>157</v>
      </c>
      <c r="M154" s="506"/>
      <c r="N154" s="477">
        <v>0.97</v>
      </c>
    </row>
    <row r="155" spans="2:14" ht="15" hidden="1" customHeight="1" x14ac:dyDescent="0.2">
      <c r="B155" s="509" t="s">
        <v>122</v>
      </c>
      <c r="C155" s="506"/>
      <c r="D155" s="506"/>
      <c r="E155" s="506"/>
      <c r="F155" s="506"/>
      <c r="G155" s="202">
        <v>3.3000000000000002E-2</v>
      </c>
      <c r="H155" s="507"/>
      <c r="I155" s="210">
        <v>1</v>
      </c>
      <c r="J155" s="506"/>
      <c r="K155" s="506"/>
      <c r="L155" s="159" t="s">
        <v>156</v>
      </c>
      <c r="M155" s="506"/>
      <c r="N155" s="477">
        <v>0.87</v>
      </c>
    </row>
    <row r="156" spans="2:14" ht="15.75" hidden="1" customHeight="1" thickBot="1" x14ac:dyDescent="0.25">
      <c r="B156" s="211" t="s">
        <v>121</v>
      </c>
      <c r="C156" s="501"/>
      <c r="D156" s="501"/>
      <c r="E156" s="501"/>
      <c r="F156" s="501"/>
      <c r="G156" s="213">
        <v>0.04</v>
      </c>
      <c r="H156" s="507"/>
      <c r="I156" s="210">
        <v>3</v>
      </c>
      <c r="J156" s="506"/>
      <c r="K156" s="506"/>
      <c r="L156" s="159" t="s">
        <v>155</v>
      </c>
      <c r="M156" s="506"/>
      <c r="N156" s="477">
        <v>0.75</v>
      </c>
    </row>
    <row r="157" spans="2:14" ht="15" hidden="1" customHeight="1" x14ac:dyDescent="0.2">
      <c r="B157" s="507"/>
      <c r="C157" s="507"/>
      <c r="D157" s="507"/>
      <c r="E157" s="160"/>
      <c r="F157" s="160"/>
      <c r="G157" s="160"/>
      <c r="H157" s="507"/>
      <c r="I157" s="210">
        <v>5</v>
      </c>
      <c r="J157" s="506"/>
      <c r="K157" s="506"/>
      <c r="L157" s="214" t="s">
        <v>154</v>
      </c>
      <c r="M157" s="506"/>
      <c r="N157" s="477">
        <v>0.72</v>
      </c>
    </row>
    <row r="158" spans="2:14" ht="15.75" hidden="1" customHeight="1" x14ac:dyDescent="0.25">
      <c r="B158" s="215" t="s">
        <v>46</v>
      </c>
      <c r="C158" s="216"/>
      <c r="D158" s="216"/>
      <c r="E158" s="217"/>
      <c r="F158" s="217"/>
      <c r="G158" s="217"/>
      <c r="H158" s="216"/>
      <c r="I158" s="218"/>
      <c r="J158" s="117"/>
      <c r="K158" s="116"/>
      <c r="L158" s="107"/>
      <c r="M158" s="478"/>
      <c r="N158" s="474"/>
    </row>
    <row r="159" spans="2:14" ht="15.75" hidden="1" customHeight="1" thickBot="1" x14ac:dyDescent="0.25">
      <c r="B159" s="219" t="s">
        <v>102</v>
      </c>
      <c r="C159" s="216"/>
      <c r="D159" s="216"/>
      <c r="E159" s="217"/>
      <c r="F159" s="217"/>
      <c r="G159" s="217"/>
      <c r="H159" s="216"/>
      <c r="I159" s="220"/>
      <c r="J159" s="118"/>
      <c r="K159" s="119"/>
      <c r="L159" s="108"/>
      <c r="M159" s="479"/>
      <c r="N159" s="480"/>
    </row>
    <row r="160" spans="2:14" ht="15.75" hidden="1" customHeight="1" thickTop="1" x14ac:dyDescent="0.2">
      <c r="B160" s="219" t="s">
        <v>103</v>
      </c>
      <c r="C160" s="216"/>
      <c r="D160" s="216"/>
      <c r="E160" s="217"/>
      <c r="F160" s="217"/>
      <c r="G160" s="217"/>
      <c r="H160" s="216"/>
      <c r="I160" s="216"/>
      <c r="J160" s="117"/>
      <c r="K160" s="120"/>
      <c r="L160" s="109"/>
    </row>
    <row r="161" spans="2:14" ht="15" hidden="1" customHeight="1" x14ac:dyDescent="0.2">
      <c r="B161" s="216"/>
      <c r="C161" s="216"/>
      <c r="D161" s="216"/>
      <c r="E161" s="217"/>
      <c r="F161" s="217"/>
      <c r="G161" s="217"/>
      <c r="H161" s="216"/>
      <c r="I161" s="117"/>
      <c r="J161" s="107"/>
      <c r="K161" s="106"/>
      <c r="L161" s="110"/>
    </row>
    <row r="162" spans="2:14" ht="15.75" hidden="1" customHeight="1" thickBot="1" x14ac:dyDescent="0.25">
      <c r="B162" s="216"/>
      <c r="C162" s="217"/>
      <c r="D162" s="217"/>
      <c r="E162" s="217"/>
      <c r="F162" s="216"/>
      <c r="G162" s="216"/>
      <c r="H162" s="117"/>
      <c r="I162" s="111"/>
      <c r="J162" s="105"/>
      <c r="K162" s="206"/>
      <c r="L162" s="507"/>
    </row>
    <row r="163" spans="2:14" ht="16.5" hidden="1" customHeight="1" thickBot="1" x14ac:dyDescent="0.3">
      <c r="B163" s="852" t="s">
        <v>206</v>
      </c>
      <c r="C163" s="853"/>
      <c r="D163" s="853"/>
      <c r="E163" s="853"/>
      <c r="F163" s="854"/>
      <c r="G163" s="514"/>
      <c r="H163" s="514"/>
      <c r="I163" s="507"/>
      <c r="J163" s="542"/>
      <c r="K163" s="543" t="s">
        <v>532</v>
      </c>
      <c r="L163" s="544"/>
    </row>
    <row r="164" spans="2:14" ht="15" hidden="1" customHeight="1" x14ac:dyDescent="0.2">
      <c r="B164" s="517"/>
      <c r="C164" s="510"/>
      <c r="D164" s="510"/>
      <c r="E164" s="510"/>
      <c r="F164" s="518"/>
      <c r="G164" s="514"/>
      <c r="H164" s="514"/>
      <c r="I164" s="507"/>
      <c r="J164" s="530"/>
      <c r="K164" s="512"/>
      <c r="L164" s="522"/>
    </row>
    <row r="165" spans="2:14" ht="19.5" hidden="1" customHeight="1" x14ac:dyDescent="0.35">
      <c r="B165" s="509" t="s">
        <v>533</v>
      </c>
      <c r="C165" s="510"/>
      <c r="D165" s="510"/>
      <c r="E165" s="510"/>
      <c r="F165" s="518"/>
      <c r="G165" s="508"/>
      <c r="H165" s="514"/>
      <c r="I165" s="507"/>
      <c r="J165" s="509" t="s">
        <v>534</v>
      </c>
      <c r="K165" s="506"/>
      <c r="L165" s="513"/>
    </row>
    <row r="166" spans="2:14" ht="15" hidden="1" customHeight="1" x14ac:dyDescent="0.2">
      <c r="B166" s="509"/>
      <c r="C166" s="510"/>
      <c r="D166" s="510"/>
      <c r="E166" s="510"/>
      <c r="F166" s="518"/>
      <c r="G166" s="508"/>
      <c r="H166" s="514"/>
      <c r="I166" s="507"/>
      <c r="J166" s="509" t="s">
        <v>535</v>
      </c>
      <c r="K166" s="506"/>
      <c r="L166" s="513"/>
    </row>
    <row r="167" spans="2:14" ht="15" hidden="1" customHeight="1" x14ac:dyDescent="0.2">
      <c r="B167" s="524" t="s">
        <v>536</v>
      </c>
      <c r="C167" s="549">
        <f>SUM(H25:K26)</f>
        <v>0</v>
      </c>
      <c r="D167" s="510"/>
      <c r="E167" s="524" t="s">
        <v>537</v>
      </c>
      <c r="F167" s="533">
        <f>SUM(H17:K24)</f>
        <v>0</v>
      </c>
      <c r="G167" s="547" t="s">
        <v>538</v>
      </c>
      <c r="H167" s="514"/>
      <c r="I167" s="507"/>
      <c r="J167" s="509" t="s">
        <v>539</v>
      </c>
      <c r="K167" s="506"/>
      <c r="L167" s="513"/>
    </row>
    <row r="168" spans="2:14" ht="19.5" hidden="1" customHeight="1" x14ac:dyDescent="0.35">
      <c r="B168" s="519" t="s">
        <v>540</v>
      </c>
      <c r="C168" s="515">
        <f>(1000/98)-10</f>
        <v>0.20408163265306101</v>
      </c>
      <c r="D168" s="510"/>
      <c r="E168" s="505" t="s">
        <v>380</v>
      </c>
      <c r="F168" s="520" t="e">
        <f>IF(I109&gt;64,(1000/I109)-10,0)</f>
        <v>#VALUE!</v>
      </c>
      <c r="G168" s="514"/>
      <c r="H168" s="514"/>
      <c r="I168" s="507"/>
      <c r="J168" s="509" t="s">
        <v>541</v>
      </c>
      <c r="K168" s="506"/>
      <c r="L168" s="513"/>
    </row>
    <row r="169" spans="2:14" ht="20.25" hidden="1" customHeight="1" thickBot="1" x14ac:dyDescent="0.25">
      <c r="B169" s="519" t="s">
        <v>542</v>
      </c>
      <c r="C169" s="516">
        <f>(1-(0.2*$C$168))^2/(1+(0.8*$C$168))</f>
        <v>0.79090583601861819</v>
      </c>
      <c r="D169" s="510"/>
      <c r="E169" s="505" t="s">
        <v>381</v>
      </c>
      <c r="F169" s="548" t="e">
        <f>IF(I109&gt;64,(1-(0.2*F168))^2/(1+(0.8*F168)),0)</f>
        <v>#VALUE!</v>
      </c>
      <c r="G169" s="514"/>
      <c r="H169" s="514"/>
      <c r="I169" s="523"/>
      <c r="J169" s="538"/>
      <c r="K169" s="511" t="s">
        <v>543</v>
      </c>
      <c r="L169" s="539" t="e">
        <f>(SUM(H25:K26))/H9</f>
        <v>#VALUE!</v>
      </c>
      <c r="M169" s="507" t="s">
        <v>544</v>
      </c>
    </row>
    <row r="170" spans="2:14" s="497" customFormat="1" ht="24" hidden="1" customHeight="1" thickBot="1" x14ac:dyDescent="0.4">
      <c r="B170" s="524" t="s">
        <v>545</v>
      </c>
      <c r="C170" s="545">
        <f>(C169/12)*(C167*43560)</f>
        <v>0</v>
      </c>
      <c r="D170" s="511"/>
      <c r="E170" s="511" t="s">
        <v>545</v>
      </c>
      <c r="F170" s="546" t="e">
        <f>(F169/12)*(F167*43560)</f>
        <v>#VALUE!</v>
      </c>
      <c r="G170" s="530" t="s">
        <v>546</v>
      </c>
      <c r="H170" s="521"/>
      <c r="I170" s="536"/>
      <c r="J170" s="540"/>
      <c r="K170" s="511" t="s">
        <v>547</v>
      </c>
      <c r="L170" s="539" t="e">
        <f>0.05+(0.9*L169)</f>
        <v>#VALUE!</v>
      </c>
      <c r="M170" s="523"/>
      <c r="N170" s="523"/>
    </row>
    <row r="171" spans="2:14" s="497" customFormat="1" ht="24" hidden="1" customHeight="1" thickBot="1" x14ac:dyDescent="0.4">
      <c r="B171" s="524" t="s">
        <v>382</v>
      </c>
      <c r="C171" s="525" t="e">
        <f>(C169*C167+F169*F167)/H10</f>
        <v>#VALUE!</v>
      </c>
      <c r="D171" s="526"/>
      <c r="E171" s="510"/>
      <c r="F171" s="518"/>
      <c r="G171" s="552" t="e">
        <f>C170+F170</f>
        <v>#VALUE!</v>
      </c>
      <c r="H171" s="532"/>
      <c r="I171" s="506" t="s">
        <v>548</v>
      </c>
      <c r="J171" s="540"/>
      <c r="K171" s="534" t="s">
        <v>549</v>
      </c>
      <c r="L171" s="535" t="e">
        <f>3630*1*L170*H9</f>
        <v>#VALUE!</v>
      </c>
      <c r="M171" s="523"/>
      <c r="N171" s="523"/>
    </row>
    <row r="172" spans="2:14" s="497" customFormat="1" ht="15.75" hidden="1" customHeight="1" thickBot="1" x14ac:dyDescent="0.25">
      <c r="B172" s="527"/>
      <c r="C172" s="528"/>
      <c r="D172" s="528"/>
      <c r="E172" s="528"/>
      <c r="F172" s="529"/>
      <c r="G172" s="527"/>
      <c r="H172" s="528"/>
      <c r="I172" s="537"/>
      <c r="J172" s="541"/>
      <c r="K172" s="537"/>
      <c r="L172" s="531"/>
      <c r="M172" s="523"/>
      <c r="N172" s="523"/>
    </row>
    <row r="173" spans="2:14" s="497" customFormat="1" ht="15" hidden="1" customHeight="1" x14ac:dyDescent="0.2">
      <c r="B173" s="868" t="s">
        <v>161</v>
      </c>
      <c r="C173" s="868"/>
      <c r="D173" s="868"/>
      <c r="E173" s="868"/>
      <c r="F173" s="523"/>
      <c r="G173" s="523"/>
      <c r="H173" s="523"/>
      <c r="I173" s="523"/>
      <c r="J173" s="523"/>
      <c r="K173" s="523"/>
      <c r="L173" s="523"/>
      <c r="M173" s="523"/>
      <c r="N173" s="523"/>
    </row>
    <row r="174" spans="2:14" s="497" customFormat="1" ht="15.75" hidden="1" customHeight="1" thickBot="1" x14ac:dyDescent="0.25">
      <c r="B174" s="868"/>
      <c r="C174" s="868"/>
      <c r="D174" s="868"/>
      <c r="E174" s="868"/>
      <c r="F174" s="523"/>
      <c r="G174" s="523"/>
      <c r="H174" s="523"/>
      <c r="I174" s="507"/>
      <c r="J174" s="523"/>
      <c r="K174" s="523"/>
      <c r="L174" s="523"/>
      <c r="M174" s="523"/>
      <c r="N174" s="523"/>
    </row>
    <row r="175" spans="2:14" s="497" customFormat="1" ht="16.5" hidden="1" customHeight="1" thickBot="1" x14ac:dyDescent="0.3">
      <c r="B175" s="351"/>
      <c r="C175" s="352"/>
      <c r="D175" s="353"/>
      <c r="E175" s="351"/>
      <c r="F175" s="523"/>
      <c r="G175" s="523"/>
      <c r="H175" s="523"/>
      <c r="I175" s="507" t="s">
        <v>550</v>
      </c>
      <c r="J175" s="523"/>
      <c r="K175" s="551" t="e">
        <f>IF(G171&gt;L171,G171,L171)</f>
        <v>#VALUE!</v>
      </c>
      <c r="L175" s="507" t="s">
        <v>551</v>
      </c>
      <c r="M175" s="523"/>
      <c r="N175" s="523"/>
    </row>
    <row r="176" spans="2:14" s="497" customFormat="1" ht="19.5" hidden="1" customHeight="1" x14ac:dyDescent="0.2">
      <c r="B176" s="833" t="s">
        <v>227</v>
      </c>
      <c r="C176" s="833"/>
      <c r="D176" s="833"/>
      <c r="E176" s="833"/>
      <c r="F176" s="507"/>
      <c r="G176" s="523"/>
      <c r="H176" s="349"/>
      <c r="I176" s="350"/>
      <c r="J176" s="523"/>
      <c r="K176" s="523"/>
      <c r="L176" s="523"/>
      <c r="M176" s="523"/>
      <c r="N176" s="523"/>
    </row>
    <row r="177" spans="2:14" s="497" customFormat="1" ht="15" hidden="1" customHeight="1" x14ac:dyDescent="0.2">
      <c r="B177" s="834" t="s">
        <v>33</v>
      </c>
      <c r="C177" s="834"/>
      <c r="D177" s="834"/>
      <c r="E177" s="834"/>
      <c r="F177" s="523"/>
      <c r="G177" s="523"/>
      <c r="H177" s="523"/>
      <c r="I177" s="523"/>
      <c r="J177" s="523"/>
      <c r="K177" s="523"/>
      <c r="L177" s="523"/>
      <c r="M177" s="523"/>
      <c r="N177" s="523"/>
    </row>
    <row r="178" spans="2:14" s="497" customFormat="1" ht="19.5" hidden="1" customHeight="1" x14ac:dyDescent="0.2">
      <c r="B178" s="833" t="s">
        <v>228</v>
      </c>
      <c r="C178" s="833"/>
      <c r="D178" s="833"/>
      <c r="E178" s="833"/>
      <c r="F178" s="523"/>
      <c r="G178" s="523"/>
      <c r="H178" s="523"/>
      <c r="I178" s="523"/>
      <c r="J178" s="523"/>
      <c r="K178" s="523"/>
      <c r="L178" s="523"/>
      <c r="M178" s="523"/>
      <c r="N178" s="523"/>
    </row>
    <row r="179" spans="2:14" s="497" customFormat="1" ht="19.5" hidden="1" customHeight="1" x14ac:dyDescent="0.2">
      <c r="B179" s="833" t="s">
        <v>224</v>
      </c>
      <c r="C179" s="833"/>
      <c r="D179" s="833"/>
      <c r="E179" s="833"/>
      <c r="F179" s="523"/>
      <c r="G179" s="523"/>
      <c r="H179" s="523"/>
      <c r="I179" s="523"/>
      <c r="J179" s="523"/>
      <c r="K179" s="523"/>
      <c r="L179" s="523"/>
      <c r="M179" s="523"/>
      <c r="N179" s="523"/>
    </row>
    <row r="180" spans="2:14" s="497" customFormat="1" ht="19.5" hidden="1" customHeight="1" x14ac:dyDescent="0.2">
      <c r="B180" s="833" t="s">
        <v>162</v>
      </c>
      <c r="C180" s="833"/>
      <c r="D180" s="833"/>
      <c r="E180" s="833"/>
      <c r="F180" s="523"/>
      <c r="G180" s="523"/>
      <c r="H180" s="523"/>
      <c r="I180" s="523"/>
      <c r="J180" s="523"/>
      <c r="K180" s="523"/>
      <c r="L180" s="523"/>
      <c r="M180" s="523"/>
      <c r="N180" s="523"/>
    </row>
    <row r="181" spans="2:14" s="497" customFormat="1" ht="15" hidden="1" customHeight="1" x14ac:dyDescent="0.2">
      <c r="B181" s="835" t="s">
        <v>163</v>
      </c>
      <c r="C181" s="835"/>
      <c r="D181" s="835"/>
      <c r="E181" s="835"/>
      <c r="F181" s="523"/>
      <c r="G181" s="523"/>
      <c r="H181" s="523"/>
      <c r="I181" s="523"/>
      <c r="J181" s="523"/>
      <c r="K181" s="523"/>
      <c r="L181" s="523"/>
      <c r="M181" s="523"/>
      <c r="N181" s="523"/>
    </row>
    <row r="182" spans="2:14" s="497" customFormat="1" ht="15" hidden="1" customHeight="1" x14ac:dyDescent="0.2">
      <c r="B182" s="523"/>
      <c r="C182" s="523"/>
      <c r="D182" s="523"/>
      <c r="E182" s="523"/>
      <c r="F182" s="523"/>
      <c r="G182" s="523"/>
      <c r="H182" s="523"/>
      <c r="I182" s="523"/>
      <c r="J182" s="523"/>
      <c r="K182" s="523"/>
      <c r="L182" s="523"/>
      <c r="M182" s="523"/>
      <c r="N182" s="523"/>
    </row>
    <row r="183" spans="2:14" s="497" customFormat="1" ht="19.5" hidden="1" customHeight="1" x14ac:dyDescent="0.2">
      <c r="B183" s="354" t="s">
        <v>225</v>
      </c>
      <c r="C183" s="355" t="e">
        <f>$H$74</f>
        <v>#VALUE!</v>
      </c>
      <c r="D183" s="356"/>
      <c r="E183" s="356"/>
      <c r="F183" s="523"/>
      <c r="G183" s="523"/>
      <c r="H183" s="523"/>
      <c r="I183" s="523"/>
      <c r="J183" s="523"/>
      <c r="K183" s="523"/>
      <c r="L183" s="523"/>
      <c r="M183" s="523"/>
      <c r="N183" s="523"/>
    </row>
    <row r="184" spans="2:14" s="139" customFormat="1" ht="19.5" hidden="1" customHeight="1" x14ac:dyDescent="0.2">
      <c r="B184" s="354" t="s">
        <v>164</v>
      </c>
      <c r="C184" s="160" t="e">
        <f>ROUND((C183-(C186/100)*98)/(1-(C186/100)),2)</f>
        <v>#VALUE!</v>
      </c>
      <c r="D184" s="356"/>
      <c r="E184" s="356"/>
      <c r="F184" s="507"/>
      <c r="G184" s="507"/>
      <c r="H184" s="507"/>
      <c r="I184" s="507"/>
      <c r="J184" s="507"/>
      <c r="K184" s="507"/>
      <c r="L184" s="507"/>
      <c r="M184" s="507"/>
      <c r="N184" s="507"/>
    </row>
    <row r="185" spans="2:14" s="139" customFormat="1" ht="19.5" hidden="1" customHeight="1" x14ac:dyDescent="0.2">
      <c r="B185" s="354" t="s">
        <v>165</v>
      </c>
      <c r="C185" s="357" t="e">
        <f>SUM(H25:K26)/SUM(H17:K26)</f>
        <v>#DIV/0!</v>
      </c>
      <c r="D185" s="358">
        <v>0.3</v>
      </c>
      <c r="E185" s="359"/>
      <c r="F185" s="507"/>
      <c r="G185" s="507"/>
      <c r="H185" s="507"/>
      <c r="I185" s="507"/>
      <c r="J185" s="507"/>
      <c r="K185" s="507"/>
      <c r="L185" s="507"/>
      <c r="M185" s="507"/>
      <c r="N185" s="507"/>
    </row>
    <row r="186" spans="2:14" s="139" customFormat="1" ht="34.5" hidden="1" customHeight="1" x14ac:dyDescent="0.2">
      <c r="B186" s="360" t="s">
        <v>317</v>
      </c>
      <c r="C186" s="357" t="e">
        <f>IF(C185&gt;D185,D185,C185)</f>
        <v>#DIV/0!</v>
      </c>
      <c r="D186" s="359"/>
      <c r="E186" s="359"/>
      <c r="F186" s="507"/>
      <c r="G186" s="507"/>
      <c r="H186" s="507"/>
      <c r="I186" s="507"/>
      <c r="J186" s="507"/>
      <c r="K186" s="507"/>
      <c r="L186" s="507"/>
      <c r="M186" s="507"/>
      <c r="N186" s="507"/>
    </row>
    <row r="187" spans="2:14" s="139" customFormat="1" ht="15" hidden="1" customHeight="1" x14ac:dyDescent="0.2">
      <c r="B187" s="354" t="s">
        <v>166</v>
      </c>
      <c r="C187" s="361" t="str">
        <f>IF(D76&gt;0,(D76/(SUM($H$25:$K$26))),"-")</f>
        <v>-</v>
      </c>
      <c r="D187" s="362"/>
      <c r="E187" s="362"/>
      <c r="F187" s="362"/>
      <c r="G187" s="362"/>
      <c r="H187" s="362"/>
      <c r="I187" s="362"/>
      <c r="J187" s="362"/>
      <c r="K187" s="506"/>
      <c r="L187" s="507"/>
      <c r="M187" s="507"/>
      <c r="N187" s="507"/>
    </row>
    <row r="188" spans="2:14" s="139" customFormat="1" ht="19.5" hidden="1" customHeight="1" x14ac:dyDescent="0.2">
      <c r="B188" s="354" t="s">
        <v>229</v>
      </c>
      <c r="C188" s="160" t="e">
        <f>ROUND(C184+((C186/100)*(98-C184)*(1-(0.5*C187))),2)</f>
        <v>#VALUE!</v>
      </c>
      <c r="D188" s="507"/>
      <c r="E188" s="507"/>
      <c r="F188" s="507"/>
      <c r="G188" s="507"/>
      <c r="H188" s="507"/>
      <c r="I188" s="507"/>
      <c r="J188" s="507"/>
      <c r="K188" s="507"/>
      <c r="L188" s="507"/>
      <c r="M188" s="507"/>
      <c r="N188" s="507"/>
    </row>
    <row r="189" spans="2:14" s="497" customFormat="1" ht="15" hidden="1" customHeight="1" x14ac:dyDescent="0.2">
      <c r="B189" s="523"/>
      <c r="C189" s="523"/>
      <c r="D189" s="523"/>
      <c r="E189" s="523"/>
      <c r="F189" s="523"/>
      <c r="G189" s="523"/>
      <c r="H189" s="523"/>
      <c r="I189" s="523"/>
      <c r="J189" s="523"/>
      <c r="K189" s="523"/>
      <c r="L189" s="523"/>
      <c r="M189" s="523"/>
      <c r="N189" s="523"/>
    </row>
    <row r="190" spans="2:14" s="497" customFormat="1" ht="15" hidden="1" customHeight="1" x14ac:dyDescent="0.2">
      <c r="B190" s="523"/>
      <c r="C190" s="523"/>
      <c r="D190" s="523"/>
      <c r="E190" s="523"/>
      <c r="F190" s="523"/>
      <c r="G190" s="523"/>
      <c r="H190" s="523"/>
      <c r="I190" s="523"/>
      <c r="J190" s="523"/>
      <c r="K190" s="523"/>
      <c r="L190" s="523"/>
      <c r="M190" s="523"/>
      <c r="N190" s="523"/>
    </row>
    <row r="191" spans="2:14" s="497" customFormat="1" ht="30" hidden="1" customHeight="1" x14ac:dyDescent="0.2">
      <c r="B191" s="413" t="s">
        <v>402</v>
      </c>
      <c r="C191" s="361">
        <f>SUM($H$26:$K$26)</f>
        <v>0</v>
      </c>
      <c r="D191" s="523"/>
      <c r="E191" s="362"/>
      <c r="F191" s="362"/>
      <c r="G191" s="362"/>
      <c r="H191" s="362"/>
      <c r="I191" s="362"/>
      <c r="J191" s="362"/>
      <c r="K191" s="362"/>
      <c r="L191" s="523"/>
      <c r="M191" s="523"/>
      <c r="N191" s="523"/>
    </row>
    <row r="192" spans="2:14" s="497" customFormat="1" ht="15" hidden="1" customHeight="1" x14ac:dyDescent="0.2">
      <c r="B192" s="523"/>
      <c r="C192" s="523"/>
      <c r="D192" s="523"/>
      <c r="E192" s="523"/>
      <c r="F192" s="523"/>
      <c r="G192" s="523"/>
      <c r="H192" s="523"/>
      <c r="I192" s="523"/>
      <c r="J192" s="523"/>
      <c r="K192" s="523"/>
      <c r="L192" s="523"/>
      <c r="M192" s="523"/>
      <c r="N192" s="523"/>
    </row>
    <row r="193" spans="2:14" s="497" customFormat="1" ht="15" hidden="1" customHeight="1" x14ac:dyDescent="0.2">
      <c r="B193" s="523"/>
      <c r="C193" s="523"/>
      <c r="D193" s="523"/>
      <c r="E193" s="523"/>
      <c r="F193" s="523"/>
      <c r="G193" s="523"/>
      <c r="H193" s="523"/>
      <c r="I193" s="523"/>
      <c r="J193" s="523"/>
      <c r="K193" s="523"/>
      <c r="L193" s="523"/>
      <c r="M193" s="523"/>
      <c r="N193" s="523"/>
    </row>
    <row r="194" spans="2:14" s="497" customFormat="1" ht="15" hidden="1" customHeight="1" x14ac:dyDescent="0.2">
      <c r="B194" s="523"/>
      <c r="C194" s="523"/>
      <c r="D194" s="523"/>
      <c r="E194" s="523"/>
      <c r="F194" s="523"/>
      <c r="G194" s="523"/>
      <c r="H194" s="523"/>
      <c r="I194" s="523"/>
      <c r="J194" s="523"/>
      <c r="K194" s="523"/>
      <c r="L194" s="523"/>
      <c r="M194" s="523"/>
      <c r="N194" s="523"/>
    </row>
    <row r="195" spans="2:14" s="497" customFormat="1" ht="15.75" thickTop="1" x14ac:dyDescent="0.2">
      <c r="B195" s="737" t="s">
        <v>435</v>
      </c>
      <c r="C195" s="737"/>
      <c r="D195" s="737"/>
      <c r="E195" s="737"/>
      <c r="F195" s="737"/>
      <c r="G195" s="737"/>
      <c r="H195" s="737"/>
      <c r="I195" s="737"/>
      <c r="J195" s="737"/>
      <c r="K195" s="737"/>
      <c r="L195" s="507"/>
      <c r="M195" s="523"/>
      <c r="N195" s="523"/>
    </row>
    <row r="196" spans="2:14" x14ac:dyDescent="0.2">
      <c r="B196" s="737"/>
      <c r="C196" s="737"/>
      <c r="D196" s="737"/>
      <c r="E196" s="737"/>
      <c r="F196" s="737"/>
      <c r="G196" s="737"/>
      <c r="H196" s="737"/>
      <c r="I196" s="737"/>
      <c r="J196" s="737"/>
      <c r="K196" s="737"/>
      <c r="L196" s="507"/>
    </row>
    <row r="197" spans="2:14" ht="15.75" x14ac:dyDescent="0.2">
      <c r="B197" s="738" t="s">
        <v>436</v>
      </c>
      <c r="C197" s="738"/>
      <c r="D197" s="738"/>
      <c r="E197" s="738"/>
      <c r="F197" s="738"/>
      <c r="G197" s="738"/>
      <c r="H197" s="738"/>
      <c r="I197" s="738"/>
      <c r="J197" s="738"/>
      <c r="K197" s="738"/>
      <c r="L197" s="507"/>
    </row>
    <row r="198" spans="2:14" x14ac:dyDescent="0.2">
      <c r="B198" s="737" t="s">
        <v>437</v>
      </c>
      <c r="C198" s="737"/>
      <c r="D198" s="737"/>
      <c r="E198" s="737"/>
      <c r="F198" s="737"/>
      <c r="G198" s="737"/>
      <c r="H198" s="737"/>
      <c r="I198" s="737"/>
      <c r="J198" s="737"/>
      <c r="K198" s="737"/>
      <c r="L198" s="507"/>
    </row>
    <row r="199" spans="2:14" x14ac:dyDescent="0.2">
      <c r="B199" s="737"/>
      <c r="C199" s="737"/>
      <c r="D199" s="737"/>
      <c r="E199" s="737"/>
      <c r="F199" s="737"/>
      <c r="G199" s="737"/>
      <c r="H199" s="737"/>
      <c r="I199" s="737"/>
      <c r="J199" s="737"/>
      <c r="K199" s="737"/>
    </row>
    <row r="200" spans="2:14" x14ac:dyDescent="0.2">
      <c r="B200" s="507"/>
      <c r="C200" s="507"/>
      <c r="D200" s="507"/>
      <c r="E200" s="160"/>
      <c r="F200" s="160"/>
      <c r="G200" s="160"/>
      <c r="H200" s="507"/>
      <c r="I200" s="507"/>
      <c r="J200" s="507"/>
      <c r="K200" s="507"/>
    </row>
    <row r="201" spans="2:14" x14ac:dyDescent="0.2">
      <c r="B201" s="507"/>
      <c r="C201" s="507"/>
      <c r="D201" s="507"/>
      <c r="E201" s="160"/>
      <c r="F201" s="160"/>
      <c r="G201" s="160"/>
      <c r="H201" s="507"/>
      <c r="I201" s="507"/>
      <c r="J201" s="507"/>
      <c r="K201" s="507"/>
    </row>
    <row r="202" spans="2:14" x14ac:dyDescent="0.2">
      <c r="B202" s="507"/>
      <c r="C202" s="507"/>
      <c r="D202" s="507"/>
      <c r="E202" s="160"/>
      <c r="F202" s="160"/>
      <c r="G202" s="160"/>
      <c r="H202" s="507"/>
      <c r="I202" s="507"/>
      <c r="J202" s="507"/>
      <c r="K202" s="507"/>
    </row>
    <row r="203" spans="2:14" x14ac:dyDescent="0.2">
      <c r="B203" s="507"/>
      <c r="C203" s="507"/>
      <c r="D203" s="507"/>
      <c r="E203" s="160"/>
      <c r="F203" s="160"/>
      <c r="G203" s="160"/>
      <c r="H203" s="507"/>
      <c r="I203" s="507"/>
      <c r="J203" s="507"/>
      <c r="K203" s="507"/>
    </row>
    <row r="204" spans="2:14" x14ac:dyDescent="0.2">
      <c r="B204" s="507"/>
      <c r="C204" s="507"/>
      <c r="D204" s="507"/>
      <c r="E204" s="160"/>
      <c r="F204" s="160"/>
      <c r="G204" s="160"/>
      <c r="H204" s="507"/>
      <c r="I204" s="507"/>
      <c r="J204" s="507"/>
      <c r="K204" s="507"/>
    </row>
    <row r="205" spans="2:14" x14ac:dyDescent="0.2">
      <c r="B205" s="507"/>
      <c r="C205" s="507"/>
      <c r="D205" s="507"/>
      <c r="E205" s="160"/>
      <c r="F205" s="160"/>
      <c r="G205" s="160"/>
      <c r="H205" s="507"/>
      <c r="I205" s="507"/>
      <c r="J205" s="507"/>
      <c r="K205" s="507"/>
    </row>
    <row r="206" spans="2:14" x14ac:dyDescent="0.2">
      <c r="B206" s="507"/>
      <c r="C206" s="507"/>
      <c r="D206" s="507"/>
      <c r="E206" s="160"/>
      <c r="F206" s="160"/>
      <c r="G206" s="160"/>
      <c r="H206" s="507"/>
      <c r="I206" s="507"/>
      <c r="J206" s="507"/>
      <c r="K206" s="507"/>
    </row>
    <row r="207" spans="2:14" x14ac:dyDescent="0.2">
      <c r="B207" s="507"/>
      <c r="C207" s="507"/>
      <c r="D207" s="507"/>
      <c r="E207" s="160"/>
      <c r="F207" s="160"/>
      <c r="G207" s="160"/>
      <c r="H207" s="507"/>
      <c r="I207" s="507"/>
      <c r="J207" s="507"/>
      <c r="K207" s="507"/>
    </row>
    <row r="208" spans="2:14" x14ac:dyDescent="0.2">
      <c r="B208" s="507"/>
      <c r="C208" s="507"/>
      <c r="D208" s="507"/>
      <c r="E208" s="160"/>
      <c r="F208" s="160"/>
      <c r="G208" s="160"/>
      <c r="H208" s="507"/>
      <c r="I208" s="507"/>
      <c r="J208" s="507"/>
      <c r="K208" s="507"/>
    </row>
    <row r="209" spans="2:12" x14ac:dyDescent="0.2">
      <c r="B209" s="507"/>
      <c r="C209" s="507"/>
      <c r="D209" s="507"/>
      <c r="E209" s="160"/>
      <c r="F209" s="160"/>
      <c r="G209" s="160"/>
      <c r="H209" s="507"/>
      <c r="I209" s="507"/>
      <c r="J209" s="507"/>
      <c r="K209" s="507"/>
    </row>
    <row r="210" spans="2:12" s="507" customFormat="1" x14ac:dyDescent="0.2">
      <c r="E210" s="160"/>
      <c r="F210" s="160"/>
      <c r="G210" s="160"/>
      <c r="L210" s="160"/>
    </row>
    <row r="211" spans="2:12" s="507" customFormat="1" x14ac:dyDescent="0.2">
      <c r="E211" s="160"/>
      <c r="F211" s="160"/>
      <c r="G211" s="160"/>
      <c r="L211" s="160"/>
    </row>
    <row r="212" spans="2:12" s="507" customFormat="1" x14ac:dyDescent="0.2">
      <c r="E212" s="160"/>
      <c r="F212" s="160"/>
      <c r="G212" s="160"/>
      <c r="L212" s="160"/>
    </row>
    <row r="213" spans="2:12" s="507" customFormat="1" x14ac:dyDescent="0.2">
      <c r="E213" s="160"/>
      <c r="F213" s="160"/>
      <c r="G213" s="160"/>
      <c r="L213" s="160"/>
    </row>
    <row r="214" spans="2:12" s="507" customFormat="1" x14ac:dyDescent="0.2">
      <c r="E214" s="160"/>
      <c r="F214" s="160"/>
      <c r="G214" s="160"/>
      <c r="L214" s="160"/>
    </row>
    <row r="215" spans="2:12" s="507" customFormat="1" x14ac:dyDescent="0.2">
      <c r="E215" s="160"/>
      <c r="F215" s="160"/>
      <c r="G215" s="160"/>
      <c r="L215" s="160"/>
    </row>
    <row r="216" spans="2:12" s="507" customFormat="1" x14ac:dyDescent="0.2">
      <c r="E216" s="160"/>
      <c r="F216" s="160"/>
      <c r="G216" s="160"/>
      <c r="L216" s="160"/>
    </row>
    <row r="217" spans="2:12" s="507" customFormat="1" x14ac:dyDescent="0.2">
      <c r="E217" s="160"/>
      <c r="F217" s="160"/>
      <c r="G217" s="160"/>
      <c r="L217" s="160"/>
    </row>
    <row r="218" spans="2:12" s="507" customFormat="1" x14ac:dyDescent="0.2">
      <c r="E218" s="160"/>
      <c r="F218" s="160"/>
      <c r="G218" s="160"/>
      <c r="L218" s="160"/>
    </row>
    <row r="219" spans="2:12" s="507" customFormat="1" x14ac:dyDescent="0.2">
      <c r="E219" s="160"/>
      <c r="F219" s="160"/>
      <c r="G219" s="160"/>
      <c r="L219" s="160"/>
    </row>
    <row r="220" spans="2:12" s="507" customFormat="1" x14ac:dyDescent="0.2">
      <c r="E220" s="160"/>
      <c r="F220" s="160"/>
      <c r="G220" s="160"/>
      <c r="L220" s="160"/>
    </row>
    <row r="221" spans="2:12" s="507" customFormat="1" x14ac:dyDescent="0.2">
      <c r="E221" s="160"/>
      <c r="F221" s="160"/>
      <c r="G221" s="160"/>
      <c r="L221" s="160"/>
    </row>
    <row r="222" spans="2:12" s="507" customFormat="1" x14ac:dyDescent="0.2">
      <c r="E222" s="160"/>
      <c r="F222" s="160"/>
      <c r="G222" s="160"/>
      <c r="L222" s="160"/>
    </row>
    <row r="223" spans="2:12" s="507" customFormat="1" x14ac:dyDescent="0.2">
      <c r="E223" s="160"/>
      <c r="F223" s="160"/>
      <c r="G223" s="160"/>
      <c r="L223" s="160"/>
    </row>
    <row r="224" spans="2:12" s="507" customFormat="1" x14ac:dyDescent="0.2">
      <c r="E224" s="160"/>
      <c r="F224" s="160"/>
      <c r="G224" s="160"/>
      <c r="L224" s="160"/>
    </row>
    <row r="225" spans="5:12" s="507" customFormat="1" x14ac:dyDescent="0.2">
      <c r="E225" s="160"/>
      <c r="F225" s="160"/>
      <c r="G225" s="160"/>
      <c r="L225" s="160"/>
    </row>
    <row r="226" spans="5:12" s="507" customFormat="1" x14ac:dyDescent="0.2">
      <c r="E226" s="160"/>
      <c r="F226" s="160"/>
      <c r="G226" s="160"/>
      <c r="L226" s="160"/>
    </row>
    <row r="227" spans="5:12" s="507" customFormat="1" x14ac:dyDescent="0.2">
      <c r="E227" s="160"/>
      <c r="F227" s="160"/>
      <c r="G227" s="160"/>
      <c r="L227" s="160"/>
    </row>
    <row r="228" spans="5:12" s="507" customFormat="1" x14ac:dyDescent="0.2">
      <c r="E228" s="160"/>
      <c r="F228" s="160"/>
      <c r="G228" s="160"/>
      <c r="L228" s="160"/>
    </row>
    <row r="229" spans="5:12" s="507" customFormat="1" x14ac:dyDescent="0.2">
      <c r="E229" s="160"/>
      <c r="F229" s="160"/>
      <c r="G229" s="160"/>
      <c r="L229" s="160"/>
    </row>
    <row r="230" spans="5:12" s="507" customFormat="1" x14ac:dyDescent="0.2">
      <c r="E230" s="160"/>
      <c r="F230" s="160"/>
      <c r="G230" s="160"/>
      <c r="L230" s="160"/>
    </row>
    <row r="231" spans="5:12" s="507" customFormat="1" x14ac:dyDescent="0.2">
      <c r="E231" s="160"/>
      <c r="F231" s="160"/>
      <c r="G231" s="160"/>
      <c r="L231" s="160"/>
    </row>
    <row r="232" spans="5:12" s="507" customFormat="1" x14ac:dyDescent="0.2">
      <c r="E232" s="160"/>
      <c r="F232" s="160"/>
      <c r="G232" s="160"/>
      <c r="L232" s="160"/>
    </row>
    <row r="233" spans="5:12" s="507" customFormat="1" x14ac:dyDescent="0.2">
      <c r="E233" s="160"/>
      <c r="F233" s="160"/>
      <c r="G233" s="160"/>
      <c r="L233" s="160"/>
    </row>
    <row r="234" spans="5:12" s="507" customFormat="1" x14ac:dyDescent="0.2">
      <c r="E234" s="160"/>
      <c r="F234" s="160"/>
      <c r="G234" s="160"/>
      <c r="L234" s="160"/>
    </row>
    <row r="235" spans="5:12" s="507" customFormat="1" x14ac:dyDescent="0.2">
      <c r="E235" s="160"/>
      <c r="F235" s="160"/>
      <c r="G235" s="160"/>
      <c r="L235" s="160"/>
    </row>
    <row r="236" spans="5:12" s="507" customFormat="1" x14ac:dyDescent="0.2">
      <c r="E236" s="160"/>
      <c r="F236" s="160"/>
      <c r="G236" s="160"/>
      <c r="L236" s="160"/>
    </row>
    <row r="237" spans="5:12" s="507" customFormat="1" x14ac:dyDescent="0.2">
      <c r="E237" s="160"/>
      <c r="F237" s="160"/>
      <c r="G237" s="160"/>
      <c r="L237" s="160"/>
    </row>
    <row r="238" spans="5:12" s="507" customFormat="1" x14ac:dyDescent="0.2">
      <c r="E238" s="160"/>
      <c r="F238" s="160"/>
      <c r="G238" s="160"/>
      <c r="L238" s="160"/>
    </row>
    <row r="239" spans="5:12" s="507" customFormat="1" x14ac:dyDescent="0.2">
      <c r="E239" s="160"/>
      <c r="F239" s="160"/>
      <c r="G239" s="160"/>
      <c r="L239" s="160"/>
    </row>
    <row r="240" spans="5:12" s="507" customFormat="1" x14ac:dyDescent="0.2">
      <c r="E240" s="160"/>
      <c r="F240" s="160"/>
      <c r="G240" s="160"/>
      <c r="L240" s="160"/>
    </row>
    <row r="241" spans="5:12" s="507" customFormat="1" x14ac:dyDescent="0.2">
      <c r="E241" s="160"/>
      <c r="F241" s="160"/>
      <c r="G241" s="160"/>
      <c r="L241" s="160"/>
    </row>
    <row r="242" spans="5:12" s="507" customFormat="1" x14ac:dyDescent="0.2">
      <c r="E242" s="160"/>
      <c r="F242" s="160"/>
      <c r="G242" s="160"/>
      <c r="L242" s="160"/>
    </row>
    <row r="243" spans="5:12" s="507" customFormat="1" x14ac:dyDescent="0.2">
      <c r="E243" s="160"/>
      <c r="F243" s="160"/>
      <c r="G243" s="160"/>
      <c r="L243" s="160"/>
    </row>
    <row r="244" spans="5:12" s="507" customFormat="1" x14ac:dyDescent="0.2">
      <c r="E244" s="160"/>
      <c r="F244" s="160"/>
      <c r="G244" s="160"/>
      <c r="L244" s="160"/>
    </row>
  </sheetData>
  <sheetProtection password="E421" sheet="1" objects="1" scenarios="1"/>
  <mergeCells count="251">
    <mergeCell ref="B9:C9"/>
    <mergeCell ref="D9:G9"/>
    <mergeCell ref="H9:K9"/>
    <mergeCell ref="B10:C10"/>
    <mergeCell ref="D10:G10"/>
    <mergeCell ref="H10:K10"/>
    <mergeCell ref="B1:D1"/>
    <mergeCell ref="E1:K1"/>
    <mergeCell ref="B3:K3"/>
    <mergeCell ref="B4:K4"/>
    <mergeCell ref="B8:C8"/>
    <mergeCell ref="D8:G8"/>
    <mergeCell ref="H8:K8"/>
    <mergeCell ref="B14:C14"/>
    <mergeCell ref="D14:G14"/>
    <mergeCell ref="H14:K14"/>
    <mergeCell ref="B15:C15"/>
    <mergeCell ref="D15:G15"/>
    <mergeCell ref="H15:K15"/>
    <mergeCell ref="B11:C11"/>
    <mergeCell ref="D11:K11"/>
    <mergeCell ref="B12:C12"/>
    <mergeCell ref="D12:K12"/>
    <mergeCell ref="B13:C13"/>
    <mergeCell ref="D13:K13"/>
    <mergeCell ref="B25:C25"/>
    <mergeCell ref="B26:C26"/>
    <mergeCell ref="D27:G27"/>
    <mergeCell ref="H27:K27"/>
    <mergeCell ref="B28:C28"/>
    <mergeCell ref="D28:G28"/>
    <mergeCell ref="H28:K28"/>
    <mergeCell ref="B16:C16"/>
    <mergeCell ref="L16:L24"/>
    <mergeCell ref="B17:C17"/>
    <mergeCell ref="B18:C18"/>
    <mergeCell ref="B19:C19"/>
    <mergeCell ref="B20:C20"/>
    <mergeCell ref="B21:C21"/>
    <mergeCell ref="B22:C22"/>
    <mergeCell ref="B23:C23"/>
    <mergeCell ref="B24:C24"/>
    <mergeCell ref="H31:K31"/>
    <mergeCell ref="B32:C32"/>
    <mergeCell ref="D32:G32"/>
    <mergeCell ref="H32:K32"/>
    <mergeCell ref="B33:C33"/>
    <mergeCell ref="D33:G33"/>
    <mergeCell ref="H33:K33"/>
    <mergeCell ref="L28:L29"/>
    <mergeCell ref="B29:C29"/>
    <mergeCell ref="D29:G29"/>
    <mergeCell ref="H29:K29"/>
    <mergeCell ref="B30:C30"/>
    <mergeCell ref="D30:G30"/>
    <mergeCell ref="H30:K30"/>
    <mergeCell ref="L30:L33"/>
    <mergeCell ref="B31:C31"/>
    <mergeCell ref="D31:G31"/>
    <mergeCell ref="B37:C37"/>
    <mergeCell ref="D37:G37"/>
    <mergeCell ref="H37:K37"/>
    <mergeCell ref="B38:C38"/>
    <mergeCell ref="D38:G38"/>
    <mergeCell ref="H38:K38"/>
    <mergeCell ref="B34:C34"/>
    <mergeCell ref="B35:C35"/>
    <mergeCell ref="D35:G35"/>
    <mergeCell ref="H35:K35"/>
    <mergeCell ref="B36:C36"/>
    <mergeCell ref="D36:G36"/>
    <mergeCell ref="H36:K36"/>
    <mergeCell ref="B41:C41"/>
    <mergeCell ref="D41:G41"/>
    <mergeCell ref="H41:K41"/>
    <mergeCell ref="B42:C42"/>
    <mergeCell ref="D42:G42"/>
    <mergeCell ref="H42:K42"/>
    <mergeCell ref="L38:L39"/>
    <mergeCell ref="B39:C39"/>
    <mergeCell ref="D39:G39"/>
    <mergeCell ref="H39:K39"/>
    <mergeCell ref="B40:C40"/>
    <mergeCell ref="D40:G40"/>
    <mergeCell ref="H40:K40"/>
    <mergeCell ref="B45:C45"/>
    <mergeCell ref="D45:G45"/>
    <mergeCell ref="H45:K45"/>
    <mergeCell ref="B46:C46"/>
    <mergeCell ref="D46:G46"/>
    <mergeCell ref="H46:K46"/>
    <mergeCell ref="B43:C43"/>
    <mergeCell ref="D43:G43"/>
    <mergeCell ref="H43:K43"/>
    <mergeCell ref="B44:C44"/>
    <mergeCell ref="D44:G44"/>
    <mergeCell ref="H44:K44"/>
    <mergeCell ref="B50:C50"/>
    <mergeCell ref="D50:G50"/>
    <mergeCell ref="H50:K50"/>
    <mergeCell ref="B51:C51"/>
    <mergeCell ref="D51:G51"/>
    <mergeCell ref="H51:K51"/>
    <mergeCell ref="L46:L49"/>
    <mergeCell ref="B47:C47"/>
    <mergeCell ref="D47:G47"/>
    <mergeCell ref="H47:K47"/>
    <mergeCell ref="B48:C48"/>
    <mergeCell ref="D48:G48"/>
    <mergeCell ref="H48:K48"/>
    <mergeCell ref="B49:C49"/>
    <mergeCell ref="D49:G49"/>
    <mergeCell ref="H49:K49"/>
    <mergeCell ref="B54:C54"/>
    <mergeCell ref="D54:G54"/>
    <mergeCell ref="H54:K54"/>
    <mergeCell ref="B55:C55"/>
    <mergeCell ref="D55:G55"/>
    <mergeCell ref="H55:K55"/>
    <mergeCell ref="B52:C52"/>
    <mergeCell ref="D52:G52"/>
    <mergeCell ref="H52:K52"/>
    <mergeCell ref="B53:C53"/>
    <mergeCell ref="D53:G53"/>
    <mergeCell ref="H53:K53"/>
    <mergeCell ref="B56:C56"/>
    <mergeCell ref="D56:G56"/>
    <mergeCell ref="H56:K56"/>
    <mergeCell ref="L56:L59"/>
    <mergeCell ref="B57:C57"/>
    <mergeCell ref="D57:G57"/>
    <mergeCell ref="H57:K57"/>
    <mergeCell ref="B58:C58"/>
    <mergeCell ref="D58:G58"/>
    <mergeCell ref="H58:K58"/>
    <mergeCell ref="B61:C61"/>
    <mergeCell ref="D61:G61"/>
    <mergeCell ref="H61:K61"/>
    <mergeCell ref="B62:C62"/>
    <mergeCell ref="D62:G62"/>
    <mergeCell ref="H62:K62"/>
    <mergeCell ref="B59:C59"/>
    <mergeCell ref="D59:G59"/>
    <mergeCell ref="H59:K59"/>
    <mergeCell ref="B60:C60"/>
    <mergeCell ref="D60:G60"/>
    <mergeCell ref="H60:K60"/>
    <mergeCell ref="B65:C65"/>
    <mergeCell ref="D65:G65"/>
    <mergeCell ref="H65:K65"/>
    <mergeCell ref="B66:C66"/>
    <mergeCell ref="D66:G66"/>
    <mergeCell ref="H66:K66"/>
    <mergeCell ref="B63:C63"/>
    <mergeCell ref="D63:G63"/>
    <mergeCell ref="H63:K63"/>
    <mergeCell ref="B64:C64"/>
    <mergeCell ref="D64:G64"/>
    <mergeCell ref="H64:K64"/>
    <mergeCell ref="L66:L69"/>
    <mergeCell ref="B67:C67"/>
    <mergeCell ref="D67:G67"/>
    <mergeCell ref="H67:K67"/>
    <mergeCell ref="B68:C68"/>
    <mergeCell ref="D68:G68"/>
    <mergeCell ref="H68:K68"/>
    <mergeCell ref="B69:C69"/>
    <mergeCell ref="D69:G69"/>
    <mergeCell ref="H69:K69"/>
    <mergeCell ref="B73:C73"/>
    <mergeCell ref="D73:G73"/>
    <mergeCell ref="H73:K73"/>
    <mergeCell ref="B74:C74"/>
    <mergeCell ref="D74:G74"/>
    <mergeCell ref="H74:K74"/>
    <mergeCell ref="B70:C70"/>
    <mergeCell ref="D70:G70"/>
    <mergeCell ref="H70:K70"/>
    <mergeCell ref="D71:G71"/>
    <mergeCell ref="H71:K71"/>
    <mergeCell ref="B72:C72"/>
    <mergeCell ref="D72:G72"/>
    <mergeCell ref="H72:K72"/>
    <mergeCell ref="B79:C79"/>
    <mergeCell ref="D79:K79"/>
    <mergeCell ref="B80:C80"/>
    <mergeCell ref="D80:K80"/>
    <mergeCell ref="B81:C81"/>
    <mergeCell ref="B82:C82"/>
    <mergeCell ref="D82:G82"/>
    <mergeCell ref="H82:K82"/>
    <mergeCell ref="B75:C75"/>
    <mergeCell ref="B76:C76"/>
    <mergeCell ref="D76:K76"/>
    <mergeCell ref="B77:C77"/>
    <mergeCell ref="D77:K77"/>
    <mergeCell ref="B78:C78"/>
    <mergeCell ref="B86:C86"/>
    <mergeCell ref="B87:C87"/>
    <mergeCell ref="D87:G87"/>
    <mergeCell ref="H87:K87"/>
    <mergeCell ref="B88:C88"/>
    <mergeCell ref="D88:G88"/>
    <mergeCell ref="H88:K88"/>
    <mergeCell ref="B83:C83"/>
    <mergeCell ref="D83:G83"/>
    <mergeCell ref="H83:K83"/>
    <mergeCell ref="B84:C84"/>
    <mergeCell ref="D84:K84"/>
    <mergeCell ref="B85:C85"/>
    <mergeCell ref="D85:G85"/>
    <mergeCell ref="H85:K85"/>
    <mergeCell ref="B92:C92"/>
    <mergeCell ref="D92:G92"/>
    <mergeCell ref="H92:K92"/>
    <mergeCell ref="B93:C93"/>
    <mergeCell ref="D93:G93"/>
    <mergeCell ref="H93:K93"/>
    <mergeCell ref="B89:C89"/>
    <mergeCell ref="D89:G89"/>
    <mergeCell ref="H89:K89"/>
    <mergeCell ref="B90:C90"/>
    <mergeCell ref="B91:C91"/>
    <mergeCell ref="D91:G91"/>
    <mergeCell ref="H91:K91"/>
    <mergeCell ref="B115:C115"/>
    <mergeCell ref="B116:C116"/>
    <mergeCell ref="E122:N122"/>
    <mergeCell ref="E130:N130"/>
    <mergeCell ref="J139:M140"/>
    <mergeCell ref="B140:G141"/>
    <mergeCell ref="D94:K94"/>
    <mergeCell ref="B96:L96"/>
    <mergeCell ref="B98:I98"/>
    <mergeCell ref="E109:F109"/>
    <mergeCell ref="B112:C113"/>
    <mergeCell ref="E112:N112"/>
    <mergeCell ref="E113:N113"/>
    <mergeCell ref="B198:K199"/>
    <mergeCell ref="B178:E178"/>
    <mergeCell ref="B179:E179"/>
    <mergeCell ref="B180:E180"/>
    <mergeCell ref="B181:E181"/>
    <mergeCell ref="B195:K196"/>
    <mergeCell ref="B197:K197"/>
    <mergeCell ref="B147:G149"/>
    <mergeCell ref="I149:N151"/>
    <mergeCell ref="B163:F163"/>
    <mergeCell ref="B173:E174"/>
    <mergeCell ref="B176:E176"/>
    <mergeCell ref="B177:E177"/>
  </mergeCells>
  <conditionalFormatting sqref="H88 H81 D81 D76 D83:K84 E1:K1 D46:K49 D56:K59 D66:K69 H91:K92 D32:K33 D79:K79">
    <cfRule type="cellIs" dxfId="473" priority="19" operator="lessThan">
      <formula>0.00001</formula>
    </cfRule>
  </conditionalFormatting>
  <conditionalFormatting sqref="I94:I97 F123:K129 F99:F108 D142:G146 B93 G99:I111 J94:K111 F110:F111 F114:K121 D150:F162 H131:H195 G150:G195 F131:G139 D99:E139 D81:D92 D93:H97 E81:H83 I131:K137 B94:C94 D39:K39 D72:H78 L77 D33:K33 I73:K78 I81:K82 E92:L92 E85:K91 I93:K93 D164:F195 I160:K195">
    <cfRule type="containsErrors" dxfId="472" priority="12">
      <formula>ISERROR(B33)</formula>
    </cfRule>
  </conditionalFormatting>
  <conditionalFormatting sqref="H81 D81 D83:K84 D11:K13 D79:K79">
    <cfRule type="cellIs" dxfId="471" priority="17" operator="lessThan">
      <formula>0.0001</formula>
    </cfRule>
  </conditionalFormatting>
  <conditionalFormatting sqref="H88 H81 D81 D83:K84 D67:K69 D57:K59 H91:K92 D47:K49 D79:K79">
    <cfRule type="cellIs" priority="16" operator="lessThan">
      <formula>0.00001</formula>
    </cfRule>
  </conditionalFormatting>
  <conditionalFormatting sqref="H88 D11:K13 H91:K92">
    <cfRule type="cellIs" dxfId="470" priority="15" operator="lessThan">
      <formula>0.000001</formula>
    </cfRule>
  </conditionalFormatting>
  <conditionalFormatting sqref="D38:K39">
    <cfRule type="cellIs" dxfId="469" priority="14" operator="lessThan">
      <formula>0.00001</formula>
    </cfRule>
  </conditionalFormatting>
  <conditionalFormatting sqref="L92 L77">
    <cfRule type="cellIs" dxfId="468" priority="13" operator="greaterThan">
      <formula>$G$35</formula>
    </cfRule>
  </conditionalFormatting>
  <conditionalFormatting sqref="H85:K85">
    <cfRule type="cellIs" dxfId="467" priority="18" operator="greaterThan">
      <formula>$D$85</formula>
    </cfRule>
  </conditionalFormatting>
  <conditionalFormatting sqref="D80:K80">
    <cfRule type="cellIs" dxfId="466" priority="9" operator="lessThan">
      <formula>0.00001</formula>
    </cfRule>
  </conditionalFormatting>
  <conditionalFormatting sqref="D80:K80">
    <cfRule type="cellIs" dxfId="465" priority="8" operator="lessThan">
      <formula>0.0001</formula>
    </cfRule>
  </conditionalFormatting>
  <conditionalFormatting sqref="D80:K80">
    <cfRule type="cellIs" priority="7" operator="lessThan">
      <formula>0.00001</formula>
    </cfRule>
  </conditionalFormatting>
  <conditionalFormatting sqref="D80:K80">
    <cfRule type="cellIs" dxfId="464" priority="6" operator="lessThan">
      <formula>0.00001</formula>
    </cfRule>
  </conditionalFormatting>
  <conditionalFormatting sqref="D80:K80">
    <cfRule type="cellIs" dxfId="463" priority="5" operator="lessThan">
      <formula>0.0001</formula>
    </cfRule>
  </conditionalFormatting>
  <conditionalFormatting sqref="D80:K80">
    <cfRule type="cellIs" priority="4" operator="lessThan">
      <formula>0.00001</formula>
    </cfRule>
  </conditionalFormatting>
  <conditionalFormatting sqref="D80:K80">
    <cfRule type="cellIs" dxfId="462" priority="3" operator="lessThan">
      <formula>0.00001</formula>
    </cfRule>
  </conditionalFormatting>
  <conditionalFormatting sqref="D80:K80">
    <cfRule type="cellIs" dxfId="461" priority="2" operator="lessThan">
      <formula>0.0001</formula>
    </cfRule>
  </conditionalFormatting>
  <conditionalFormatting sqref="D80:K80">
    <cfRule type="cellIs" priority="1" operator="lessThan">
      <formula>0.00001</formula>
    </cfRule>
  </conditionalFormatting>
  <dataValidations count="3">
    <dataValidation type="list" allowBlank="1" showInputMessage="1" showErrorMessage="1" sqref="D45:K45 D55:K55 D65:K65" xr:uid="{00000000-0002-0000-0400-000000000000}">
      <formula1>$B$151:$B$156</formula1>
    </dataValidation>
    <dataValidation type="list" allowBlank="1" showInputMessage="1" showErrorMessage="1" sqref="D37:K37" xr:uid="{00000000-0002-0000-0400-000001000000}">
      <formula1>$B$159:$B$160</formula1>
    </dataValidation>
    <dataValidation type="list" allowBlank="1" showInputMessage="1" showErrorMessage="1" sqref="D31 H31" xr:uid="{00000000-0002-0000-0400-000002000000}">
      <formula1>$B$143:$B$145</formula1>
    </dataValidation>
  </dataValidations>
  <hyperlinks>
    <hyperlink ref="L12" location="PPT" display="From Site Data" xr:uid="{00000000-0004-0000-0400-000000000000}"/>
    <hyperlink ref="L38" location="VELOCITY" display="See Shallow Flow Calculations" xr:uid="{00000000-0004-0000-0400-000001000000}"/>
    <hyperlink ref="L46" location="mannings_channel" display="See Channel Flow" xr:uid="{00000000-0004-0000-0400-000002000000}"/>
    <hyperlink ref="L38:L39" location="SHALLOW" display="See Shallow Flow Calculations" xr:uid="{00000000-0004-0000-0400-000003000000}"/>
    <hyperlink ref="L46:L49" location="CHANNEL" display="See Open Channel Flow" xr:uid="{00000000-0004-0000-0400-000004000000}"/>
    <hyperlink ref="L56" location="mannings_channel" display="See Channel Flow" xr:uid="{00000000-0004-0000-0400-000005000000}"/>
    <hyperlink ref="L56:L59" location="CHANNEL" display="See Open Channel Flow" xr:uid="{00000000-0004-0000-0400-000006000000}"/>
    <hyperlink ref="L66" location="mannings_channel" display="See Channel Flow" xr:uid="{00000000-0004-0000-0400-000007000000}"/>
    <hyperlink ref="L66:L69" location="CHANNEL" display="See Open Channel Flow" xr:uid="{00000000-0004-0000-0400-000008000000}"/>
    <hyperlink ref="L30:L33" location="SHEET" display="See Sheet Flow Calculations" xr:uid="{00000000-0004-0000-0400-000009000000}"/>
    <hyperlink ref="L74" location="WCN" display="See Weighted Curve Number" xr:uid="{00000000-0004-0000-0400-00000A000000}"/>
    <hyperlink ref="L70" location="Tc" display="See Tc" xr:uid="{00000000-0004-0000-0400-00000B000000}"/>
    <hyperlink ref="L16:L24" location="WCN" display="See Weighted Curve Number" xr:uid="{00000000-0004-0000-0400-00000C000000}"/>
    <hyperlink ref="L82" location="SCS" display="See SCS Runoff Method" xr:uid="{00000000-0004-0000-0400-00000D000000}"/>
    <hyperlink ref="L79" location="hd" display="See Discrete Runoff Method" xr:uid="{00000000-0004-0000-0400-00000E000000}"/>
    <hyperlink ref="L87" location="SCS" display="See SCS Runoff Method" xr:uid="{00000000-0004-0000-0400-00000F000000}"/>
    <hyperlink ref="L91" location="SCS" display="See SCS Runoff Method" xr:uid="{00000000-0004-0000-0400-000010000000}"/>
    <hyperlink ref="L85" location="PEAK" display="See Peak Flow Calculations" xr:uid="{00000000-0004-0000-0400-000011000000}"/>
    <hyperlink ref="L89" location="PEAK" display="See Peak Flow Calculations" xr:uid="{00000000-0004-0000-0400-000012000000}"/>
    <hyperlink ref="L76" location="Disconnected" display="See Disconnected Impervious Calculation" xr:uid="{00000000-0004-0000-0400-000013000000}"/>
    <hyperlink ref="B195:K196" location="'DA2'!A1" display="CLICK TO ADD ANOTHER DRAINAGE AREA" xr:uid="{00000000-0004-0000-0400-000014000000}"/>
    <hyperlink ref="B198:K199" location="'SITE SUMMARY'!A1" display="CONTINUE TO SITE SUMMARY" xr:uid="{00000000-0004-0000-0400-000015000000}"/>
    <hyperlink ref="L80" location="hd" display="See Discrete Runoff Method" xr:uid="{00000000-0004-0000-0400-000016000000}"/>
  </hyperlinks>
  <printOptions horizontalCentered="1"/>
  <pageMargins left="0.7" right="0.7" top="0.75" bottom="0.75" header="0.3" footer="0.3"/>
  <pageSetup scale="54" fitToHeight="2" orientation="portrait" copies="5" r:id="rId1"/>
  <headerFooter>
    <oddFooter>&amp;A&amp;RPage &amp;P</oddFooter>
  </headerFooter>
  <rowBreaks count="1" manualBreakCount="1">
    <brk id="49" min="1" max="10"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AA244"/>
  <sheetViews>
    <sheetView showRowColHeaders="0" zoomScale="85" zoomScaleNormal="85" workbookViewId="0">
      <selection activeCell="H37" sqref="H37:K37"/>
    </sheetView>
  </sheetViews>
  <sheetFormatPr defaultRowHeight="15" x14ac:dyDescent="0.2"/>
  <cols>
    <col min="1" max="1" width="3.77734375" style="507" customWidth="1"/>
    <col min="2" max="2" width="25.6640625" style="161" customWidth="1"/>
    <col min="3" max="3" width="17.33203125" style="161" customWidth="1"/>
    <col min="4" max="4" width="8.6640625" style="161" customWidth="1"/>
    <col min="5" max="7" width="8.6640625" style="223" customWidth="1"/>
    <col min="8" max="11" width="8.6640625" style="161" customWidth="1"/>
    <col min="12" max="12" width="37.109375" style="160" bestFit="1" customWidth="1"/>
    <col min="13" max="27" width="8.88671875" style="507"/>
    <col min="28" max="16384" width="8.88671875" style="161"/>
  </cols>
  <sheetData>
    <row r="1" spans="2:12" ht="16.5" thickBot="1" x14ac:dyDescent="0.3">
      <c r="B1" s="787" t="s">
        <v>31</v>
      </c>
      <c r="C1" s="787"/>
      <c r="D1" s="787"/>
      <c r="E1" s="788">
        <f>'SITE DATA'!F9</f>
        <v>0</v>
      </c>
      <c r="F1" s="789"/>
      <c r="G1" s="789"/>
      <c r="H1" s="789"/>
      <c r="I1" s="789"/>
      <c r="J1" s="789"/>
      <c r="K1" s="790"/>
    </row>
    <row r="2" spans="2:12" x14ac:dyDescent="0.2">
      <c r="B2" s="507"/>
      <c r="C2" s="507"/>
      <c r="D2" s="507"/>
      <c r="E2" s="160"/>
      <c r="F2" s="160"/>
      <c r="G2" s="160"/>
      <c r="H2" s="507"/>
      <c r="I2" s="507"/>
      <c r="J2" s="507"/>
      <c r="K2" s="507"/>
    </row>
    <row r="3" spans="2:12" ht="18" x14ac:dyDescent="0.25">
      <c r="B3" s="797" t="s">
        <v>400</v>
      </c>
      <c r="C3" s="797"/>
      <c r="D3" s="797"/>
      <c r="E3" s="797"/>
      <c r="F3" s="797"/>
      <c r="G3" s="797"/>
      <c r="H3" s="797"/>
      <c r="I3" s="797"/>
      <c r="J3" s="797"/>
      <c r="K3" s="797"/>
      <c r="L3" s="162"/>
    </row>
    <row r="4" spans="2:12" ht="18" x14ac:dyDescent="0.25">
      <c r="B4" s="797" t="s">
        <v>8</v>
      </c>
      <c r="C4" s="797"/>
      <c r="D4" s="797"/>
      <c r="E4" s="797"/>
      <c r="F4" s="797"/>
      <c r="G4" s="797"/>
      <c r="H4" s="797"/>
      <c r="I4" s="797"/>
      <c r="J4" s="797"/>
      <c r="K4" s="797"/>
      <c r="L4" s="162"/>
    </row>
    <row r="5" spans="2:12" x14ac:dyDescent="0.2">
      <c r="B5" s="507"/>
      <c r="C5" s="507"/>
      <c r="D5" s="507"/>
      <c r="E5" s="160"/>
      <c r="F5" s="160"/>
      <c r="G5" s="160"/>
      <c r="H5" s="507"/>
      <c r="I5" s="507"/>
      <c r="J5" s="507"/>
      <c r="K5" s="507"/>
    </row>
    <row r="6" spans="2:12" x14ac:dyDescent="0.2">
      <c r="B6" s="507"/>
      <c r="C6" s="507"/>
      <c r="D6" s="507"/>
      <c r="E6" s="160"/>
      <c r="F6" s="160"/>
      <c r="G6" s="160"/>
      <c r="H6" s="507"/>
      <c r="I6" s="507"/>
      <c r="J6" s="507"/>
      <c r="K6" s="507"/>
    </row>
    <row r="7" spans="2:12" ht="15.75" thickBot="1" x14ac:dyDescent="0.25">
      <c r="B7" s="507"/>
      <c r="C7" s="507"/>
      <c r="D7" s="507"/>
      <c r="E7" s="160"/>
      <c r="F7" s="160"/>
      <c r="G7" s="160"/>
      <c r="H7" s="507"/>
      <c r="I7" s="507"/>
      <c r="J7" s="507"/>
      <c r="K7" s="507"/>
    </row>
    <row r="8" spans="2:12" ht="24.95" customHeight="1" thickTop="1" thickBot="1" x14ac:dyDescent="0.3">
      <c r="B8" s="801" t="s">
        <v>263</v>
      </c>
      <c r="C8" s="802"/>
      <c r="D8" s="798" t="s">
        <v>9</v>
      </c>
      <c r="E8" s="798"/>
      <c r="F8" s="798"/>
      <c r="G8" s="798"/>
      <c r="H8" s="798" t="s">
        <v>30</v>
      </c>
      <c r="I8" s="798"/>
      <c r="J8" s="798"/>
      <c r="K8" s="798"/>
      <c r="L8" s="238" t="s">
        <v>319</v>
      </c>
    </row>
    <row r="9" spans="2:12" ht="24.95" customHeight="1" thickTop="1" x14ac:dyDescent="0.2">
      <c r="B9" s="754" t="s">
        <v>92</v>
      </c>
      <c r="C9" s="791"/>
      <c r="D9" s="799" t="s">
        <v>755</v>
      </c>
      <c r="E9" s="725"/>
      <c r="F9" s="725"/>
      <c r="G9" s="800"/>
      <c r="H9" s="774" t="s">
        <v>755</v>
      </c>
      <c r="I9" s="775"/>
      <c r="J9" s="775"/>
      <c r="K9" s="776"/>
      <c r="L9" s="163" t="s">
        <v>486</v>
      </c>
    </row>
    <row r="10" spans="2:12" ht="24.95" customHeight="1" x14ac:dyDescent="0.2">
      <c r="B10" s="754" t="s">
        <v>93</v>
      </c>
      <c r="C10" s="791"/>
      <c r="D10" s="799" t="s">
        <v>755</v>
      </c>
      <c r="E10" s="725"/>
      <c r="F10" s="725"/>
      <c r="G10" s="800"/>
      <c r="H10" s="799" t="s">
        <v>755</v>
      </c>
      <c r="I10" s="725"/>
      <c r="J10" s="725"/>
      <c r="K10" s="800"/>
      <c r="L10" s="163"/>
    </row>
    <row r="11" spans="2:12" ht="24.95" customHeight="1" x14ac:dyDescent="0.2">
      <c r="B11" s="754" t="s">
        <v>226</v>
      </c>
      <c r="C11" s="791"/>
      <c r="D11" s="803">
        <f>'SITE DATA'!$F$26</f>
        <v>0</v>
      </c>
      <c r="E11" s="683"/>
      <c r="F11" s="683"/>
      <c r="G11" s="683"/>
      <c r="H11" s="683"/>
      <c r="I11" s="683"/>
      <c r="J11" s="683"/>
      <c r="K11" s="804"/>
      <c r="L11" s="566"/>
    </row>
    <row r="12" spans="2:12" ht="24.95" customHeight="1" x14ac:dyDescent="0.2">
      <c r="B12" s="754" t="s">
        <v>329</v>
      </c>
      <c r="C12" s="791"/>
      <c r="D12" s="803">
        <f>'SITE DATA'!$F$27</f>
        <v>0</v>
      </c>
      <c r="E12" s="683"/>
      <c r="F12" s="683"/>
      <c r="G12" s="683"/>
      <c r="H12" s="683"/>
      <c r="I12" s="683"/>
      <c r="J12" s="683"/>
      <c r="K12" s="804"/>
      <c r="L12" s="566" t="s">
        <v>266</v>
      </c>
    </row>
    <row r="13" spans="2:12" ht="24.95" customHeight="1" x14ac:dyDescent="0.2">
      <c r="B13" s="754" t="s">
        <v>375</v>
      </c>
      <c r="C13" s="791"/>
      <c r="D13" s="803">
        <f>'SITE DATA'!$F$28</f>
        <v>0</v>
      </c>
      <c r="E13" s="683"/>
      <c r="F13" s="683"/>
      <c r="G13" s="683"/>
      <c r="H13" s="683"/>
      <c r="I13" s="683"/>
      <c r="J13" s="683"/>
      <c r="K13" s="804"/>
      <c r="L13" s="566"/>
    </row>
    <row r="14" spans="2:12" ht="24.95" customHeight="1" x14ac:dyDescent="0.2">
      <c r="B14" s="754" t="s">
        <v>307</v>
      </c>
      <c r="C14" s="791"/>
      <c r="D14" s="792" t="s">
        <v>755</v>
      </c>
      <c r="E14" s="793"/>
      <c r="F14" s="793"/>
      <c r="G14" s="793"/>
      <c r="H14" s="793" t="s">
        <v>755</v>
      </c>
      <c r="I14" s="793"/>
      <c r="J14" s="793"/>
      <c r="K14" s="793"/>
      <c r="L14" s="163"/>
    </row>
    <row r="15" spans="2:12" ht="24.95" customHeight="1" x14ac:dyDescent="0.2">
      <c r="B15" s="754" t="s">
        <v>306</v>
      </c>
      <c r="C15" s="791"/>
      <c r="D15" s="793" t="s">
        <v>755</v>
      </c>
      <c r="E15" s="793"/>
      <c r="F15" s="793"/>
      <c r="G15" s="793"/>
      <c r="H15" s="793" t="s">
        <v>755</v>
      </c>
      <c r="I15" s="793"/>
      <c r="J15" s="793"/>
      <c r="K15" s="793"/>
      <c r="L15" s="163"/>
    </row>
    <row r="16" spans="2:12" ht="24.95" customHeight="1" x14ac:dyDescent="0.2">
      <c r="B16" s="784" t="s">
        <v>487</v>
      </c>
      <c r="C16" s="785"/>
      <c r="D16" s="429" t="s">
        <v>15</v>
      </c>
      <c r="E16" s="430" t="s">
        <v>16</v>
      </c>
      <c r="F16" s="430" t="s">
        <v>18</v>
      </c>
      <c r="G16" s="431" t="s">
        <v>17</v>
      </c>
      <c r="H16" s="432" t="s">
        <v>15</v>
      </c>
      <c r="I16" s="430" t="s">
        <v>16</v>
      </c>
      <c r="J16" s="430" t="s">
        <v>18</v>
      </c>
      <c r="K16" s="431" t="s">
        <v>17</v>
      </c>
      <c r="L16" s="766" t="s">
        <v>177</v>
      </c>
    </row>
    <row r="17" spans="2:12" ht="24.95" customHeight="1" x14ac:dyDescent="0.2">
      <c r="B17" s="754" t="s">
        <v>12</v>
      </c>
      <c r="C17" s="791"/>
      <c r="D17" s="428"/>
      <c r="E17" s="416"/>
      <c r="F17" s="416" t="s">
        <v>755</v>
      </c>
      <c r="G17" s="427"/>
      <c r="H17" s="428"/>
      <c r="I17" s="416"/>
      <c r="J17" s="416" t="s">
        <v>755</v>
      </c>
      <c r="K17" s="427"/>
      <c r="L17" s="766"/>
    </row>
    <row r="18" spans="2:12" ht="24.95" customHeight="1" x14ac:dyDescent="0.2">
      <c r="B18" s="754" t="s">
        <v>253</v>
      </c>
      <c r="C18" s="791"/>
      <c r="D18" s="428"/>
      <c r="E18" s="416"/>
      <c r="F18" s="416"/>
      <c r="G18" s="427"/>
      <c r="H18" s="428"/>
      <c r="I18" s="416"/>
      <c r="J18" s="416"/>
      <c r="K18" s="427"/>
      <c r="L18" s="766"/>
    </row>
    <row r="19" spans="2:12" ht="24.95" customHeight="1" x14ac:dyDescent="0.2">
      <c r="B19" s="754" t="s">
        <v>260</v>
      </c>
      <c r="C19" s="791"/>
      <c r="D19" s="428"/>
      <c r="E19" s="416"/>
      <c r="F19" s="416"/>
      <c r="G19" s="427"/>
      <c r="H19" s="428"/>
      <c r="I19" s="416"/>
      <c r="J19" s="416"/>
      <c r="K19" s="427"/>
      <c r="L19" s="766"/>
    </row>
    <row r="20" spans="2:12" ht="24.95" customHeight="1" x14ac:dyDescent="0.2">
      <c r="B20" s="754" t="s">
        <v>259</v>
      </c>
      <c r="C20" s="791"/>
      <c r="D20" s="428"/>
      <c r="E20" s="416"/>
      <c r="F20" s="416" t="s">
        <v>755</v>
      </c>
      <c r="G20" s="427"/>
      <c r="H20" s="428"/>
      <c r="I20" s="416"/>
      <c r="J20" s="416" t="s">
        <v>755</v>
      </c>
      <c r="K20" s="427"/>
      <c r="L20" s="766"/>
    </row>
    <row r="21" spans="2:12" ht="24.95" customHeight="1" x14ac:dyDescent="0.2">
      <c r="B21" s="754" t="s">
        <v>255</v>
      </c>
      <c r="C21" s="791"/>
      <c r="D21" s="428"/>
      <c r="E21" s="416"/>
      <c r="F21" s="416"/>
      <c r="G21" s="427"/>
      <c r="H21" s="428"/>
      <c r="I21" s="416"/>
      <c r="J21" s="416"/>
      <c r="K21" s="427"/>
      <c r="L21" s="766"/>
    </row>
    <row r="22" spans="2:12" ht="24.95" customHeight="1" x14ac:dyDescent="0.2">
      <c r="B22" s="754" t="s">
        <v>262</v>
      </c>
      <c r="C22" s="791"/>
      <c r="D22" s="428"/>
      <c r="E22" s="416"/>
      <c r="F22" s="416"/>
      <c r="G22" s="427"/>
      <c r="H22" s="428"/>
      <c r="I22" s="416"/>
      <c r="J22" s="416"/>
      <c r="K22" s="427"/>
      <c r="L22" s="766"/>
    </row>
    <row r="23" spans="2:12" ht="24.95" customHeight="1" x14ac:dyDescent="0.2">
      <c r="B23" s="754" t="s">
        <v>261</v>
      </c>
      <c r="C23" s="791"/>
      <c r="D23" s="428"/>
      <c r="E23" s="416"/>
      <c r="F23" s="416"/>
      <c r="G23" s="427"/>
      <c r="H23" s="428"/>
      <c r="I23" s="416"/>
      <c r="J23" s="416"/>
      <c r="K23" s="427"/>
      <c r="L23" s="766"/>
    </row>
    <row r="24" spans="2:12" ht="24.95" customHeight="1" x14ac:dyDescent="0.2">
      <c r="B24" s="754" t="s">
        <v>245</v>
      </c>
      <c r="C24" s="791"/>
      <c r="D24" s="428"/>
      <c r="E24" s="416"/>
      <c r="F24" s="416"/>
      <c r="G24" s="427"/>
      <c r="H24" s="428"/>
      <c r="I24" s="416"/>
      <c r="J24" s="416"/>
      <c r="K24" s="427"/>
      <c r="L24" s="766"/>
    </row>
    <row r="25" spans="2:12" ht="24.95" customHeight="1" x14ac:dyDescent="0.25">
      <c r="B25" s="754" t="s">
        <v>369</v>
      </c>
      <c r="C25" s="791"/>
      <c r="D25" s="428"/>
      <c r="E25" s="416"/>
      <c r="F25" s="416"/>
      <c r="G25" s="427"/>
      <c r="H25" s="428"/>
      <c r="I25" s="416"/>
      <c r="J25" s="416"/>
      <c r="K25" s="427"/>
      <c r="L25" s="417"/>
    </row>
    <row r="26" spans="2:12" ht="24.95" customHeight="1" thickBot="1" x14ac:dyDescent="0.3">
      <c r="B26" s="830" t="s">
        <v>368</v>
      </c>
      <c r="C26" s="831"/>
      <c r="D26" s="433"/>
      <c r="E26" s="434"/>
      <c r="F26" s="434"/>
      <c r="G26" s="435"/>
      <c r="H26" s="433"/>
      <c r="I26" s="434"/>
      <c r="J26" s="434"/>
      <c r="K26" s="435"/>
      <c r="L26" s="417" t="str">
        <f>IF(OR(SUM($H$17:$K$26)&gt;$H$10,SUM($H$17:$K$26)&lt;$H$10),"LAND USE MUST MATCH SITE ACREAGE","")</f>
        <v>LAND USE MUST MATCH SITE ACREAGE</v>
      </c>
    </row>
    <row r="27" spans="2:12" ht="24.95" customHeight="1" thickTop="1" thickBot="1" x14ac:dyDescent="0.25">
      <c r="B27" s="443" t="s">
        <v>264</v>
      </c>
      <c r="C27" s="444"/>
      <c r="D27" s="805" t="s">
        <v>56</v>
      </c>
      <c r="E27" s="805"/>
      <c r="F27" s="805"/>
      <c r="G27" s="805"/>
      <c r="H27" s="805" t="s">
        <v>57</v>
      </c>
      <c r="I27" s="805"/>
      <c r="J27" s="805"/>
      <c r="K27" s="805"/>
      <c r="L27" s="418"/>
    </row>
    <row r="28" spans="2:12" ht="24.95" customHeight="1" thickTop="1" x14ac:dyDescent="0.2">
      <c r="B28" s="795" t="s">
        <v>404</v>
      </c>
      <c r="C28" s="796"/>
      <c r="D28" s="794"/>
      <c r="E28" s="794"/>
      <c r="F28" s="794"/>
      <c r="G28" s="794"/>
      <c r="H28" s="794"/>
      <c r="I28" s="794"/>
      <c r="J28" s="794"/>
      <c r="K28" s="794"/>
      <c r="L28" s="736"/>
    </row>
    <row r="29" spans="2:12" ht="24.95" customHeight="1" x14ac:dyDescent="0.2">
      <c r="B29" s="770" t="s">
        <v>87</v>
      </c>
      <c r="C29" s="771"/>
      <c r="D29" s="774" t="s">
        <v>755</v>
      </c>
      <c r="E29" s="775"/>
      <c r="F29" s="775"/>
      <c r="G29" s="776"/>
      <c r="H29" s="774" t="s">
        <v>755</v>
      </c>
      <c r="I29" s="775"/>
      <c r="J29" s="775"/>
      <c r="K29" s="776"/>
      <c r="L29" s="736"/>
    </row>
    <row r="30" spans="2:12" ht="24.95" customHeight="1" x14ac:dyDescent="0.2">
      <c r="B30" s="770" t="s">
        <v>88</v>
      </c>
      <c r="C30" s="771"/>
      <c r="D30" s="777" t="s">
        <v>755</v>
      </c>
      <c r="E30" s="778"/>
      <c r="F30" s="778"/>
      <c r="G30" s="779"/>
      <c r="H30" s="777" t="s">
        <v>755</v>
      </c>
      <c r="I30" s="778"/>
      <c r="J30" s="778"/>
      <c r="K30" s="779"/>
      <c r="L30" s="766" t="s">
        <v>95</v>
      </c>
    </row>
    <row r="31" spans="2:12" ht="24.95" customHeight="1" x14ac:dyDescent="0.2">
      <c r="B31" s="770" t="s">
        <v>60</v>
      </c>
      <c r="C31" s="771"/>
      <c r="D31" s="774"/>
      <c r="E31" s="775"/>
      <c r="F31" s="775"/>
      <c r="G31" s="776"/>
      <c r="H31" s="774"/>
      <c r="I31" s="775"/>
      <c r="J31" s="775"/>
      <c r="K31" s="776"/>
      <c r="L31" s="766"/>
    </row>
    <row r="32" spans="2:12" ht="24.95" customHeight="1" x14ac:dyDescent="0.2">
      <c r="B32" s="781" t="s">
        <v>86</v>
      </c>
      <c r="C32" s="782"/>
      <c r="D32" s="769" t="str">
        <f>IF(D31=$B$143,$G$143,IF(D31=$B$144,$G$144,IF(D31=$B$145,$G$145,"")))</f>
        <v/>
      </c>
      <c r="E32" s="769"/>
      <c r="F32" s="769"/>
      <c r="G32" s="769"/>
      <c r="H32" s="769" t="str">
        <f>IF(H31=$B$143,$G$143,IF(H31=$B$144,$G$144,IF(H31=$B$145,$G$145,"")))</f>
        <v/>
      </c>
      <c r="I32" s="769"/>
      <c r="J32" s="769"/>
      <c r="K32" s="769"/>
      <c r="L32" s="766"/>
    </row>
    <row r="33" spans="2:12" ht="24.95" customHeight="1" x14ac:dyDescent="0.2">
      <c r="B33" s="770" t="s">
        <v>89</v>
      </c>
      <c r="C33" s="780"/>
      <c r="D33" s="769" t="e">
        <f>IF(D29&gt;0,(0.007*(D32*D29)^0.8)/(($D$11^0.5)*(D30^0.4)),0)</f>
        <v>#VALUE!</v>
      </c>
      <c r="E33" s="769"/>
      <c r="F33" s="769"/>
      <c r="G33" s="769"/>
      <c r="H33" s="769" t="e">
        <f>IF(H29&gt;0,(0.007*(H32*H29)^0.8)/(($D$11^0.5)*(H30^0.4)),0)</f>
        <v>#VALUE!</v>
      </c>
      <c r="I33" s="769"/>
      <c r="J33" s="769"/>
      <c r="K33" s="769"/>
      <c r="L33" s="766"/>
    </row>
    <row r="34" spans="2:12" ht="24.95" customHeight="1" x14ac:dyDescent="0.2">
      <c r="B34" s="795" t="s">
        <v>405</v>
      </c>
      <c r="C34" s="796"/>
      <c r="D34" s="570"/>
      <c r="E34" s="570"/>
      <c r="F34" s="570"/>
      <c r="G34" s="570"/>
      <c r="H34" s="570"/>
      <c r="I34" s="570"/>
      <c r="J34" s="570"/>
      <c r="K34" s="571"/>
      <c r="L34" s="419"/>
    </row>
    <row r="35" spans="2:12" ht="24.95" customHeight="1" x14ac:dyDescent="0.2">
      <c r="B35" s="770" t="s">
        <v>87</v>
      </c>
      <c r="C35" s="771"/>
      <c r="D35" s="774" t="s">
        <v>755</v>
      </c>
      <c r="E35" s="775"/>
      <c r="F35" s="775"/>
      <c r="G35" s="776"/>
      <c r="H35" s="774" t="s">
        <v>755</v>
      </c>
      <c r="I35" s="775"/>
      <c r="J35" s="775"/>
      <c r="K35" s="776"/>
      <c r="L35" s="163"/>
    </row>
    <row r="36" spans="2:12" ht="24.95" customHeight="1" x14ac:dyDescent="0.2">
      <c r="B36" s="770" t="s">
        <v>88</v>
      </c>
      <c r="C36" s="771"/>
      <c r="D36" s="777" t="s">
        <v>755</v>
      </c>
      <c r="E36" s="778"/>
      <c r="F36" s="778"/>
      <c r="G36" s="779"/>
      <c r="H36" s="777" t="s">
        <v>755</v>
      </c>
      <c r="I36" s="778"/>
      <c r="J36" s="778"/>
      <c r="K36" s="779"/>
      <c r="L36" s="163"/>
    </row>
    <row r="37" spans="2:12" ht="24.95" customHeight="1" x14ac:dyDescent="0.2">
      <c r="B37" s="770" t="s">
        <v>60</v>
      </c>
      <c r="C37" s="771"/>
      <c r="D37" s="774"/>
      <c r="E37" s="775"/>
      <c r="F37" s="775"/>
      <c r="G37" s="776"/>
      <c r="H37" s="774"/>
      <c r="I37" s="775"/>
      <c r="J37" s="775"/>
      <c r="K37" s="776"/>
      <c r="L37" s="163"/>
    </row>
    <row r="38" spans="2:12" ht="24.95" customHeight="1" x14ac:dyDescent="0.2">
      <c r="B38" s="781" t="s">
        <v>96</v>
      </c>
      <c r="C38" s="782"/>
      <c r="D38" s="783">
        <f>IF(D37="Unpaved",16.1345*D36^0.5,IF(D37="Paved",20.32828*D36^0.5,0))</f>
        <v>0</v>
      </c>
      <c r="E38" s="783"/>
      <c r="F38" s="783"/>
      <c r="G38" s="783"/>
      <c r="H38" s="783">
        <f>IF(H37="Unpaved",16.1345*H36^0.5,IF(H37="Paved",20.32828*H36^0.5,0))</f>
        <v>0</v>
      </c>
      <c r="I38" s="783"/>
      <c r="J38" s="783"/>
      <c r="K38" s="783"/>
      <c r="L38" s="766" t="s">
        <v>131</v>
      </c>
    </row>
    <row r="39" spans="2:12" ht="24.95" customHeight="1" x14ac:dyDescent="0.2">
      <c r="B39" s="770" t="s">
        <v>89</v>
      </c>
      <c r="C39" s="780"/>
      <c r="D39" s="783">
        <f>IF(D38&gt;0,D35/(3600*D38),0)</f>
        <v>0</v>
      </c>
      <c r="E39" s="783"/>
      <c r="F39" s="783"/>
      <c r="G39" s="783"/>
      <c r="H39" s="783">
        <f>IF(H38&gt;0,H35/(3600*H38),0)</f>
        <v>0</v>
      </c>
      <c r="I39" s="783"/>
      <c r="J39" s="783"/>
      <c r="K39" s="783"/>
      <c r="L39" s="766"/>
    </row>
    <row r="40" spans="2:12" ht="24.95" customHeight="1" x14ac:dyDescent="0.2">
      <c r="B40" s="784" t="s">
        <v>406</v>
      </c>
      <c r="C40" s="785"/>
      <c r="D40" s="772"/>
      <c r="E40" s="772"/>
      <c r="F40" s="772"/>
      <c r="G40" s="772"/>
      <c r="H40" s="772"/>
      <c r="I40" s="772"/>
      <c r="J40" s="772"/>
      <c r="K40" s="773"/>
      <c r="L40" s="163"/>
    </row>
    <row r="41" spans="2:12" ht="24.95" customHeight="1" x14ac:dyDescent="0.2">
      <c r="B41" s="770" t="s">
        <v>87</v>
      </c>
      <c r="C41" s="771"/>
      <c r="D41" s="739"/>
      <c r="E41" s="739"/>
      <c r="F41" s="739"/>
      <c r="G41" s="739"/>
      <c r="H41" s="774"/>
      <c r="I41" s="775"/>
      <c r="J41" s="775"/>
      <c r="K41" s="776"/>
      <c r="L41" s="163"/>
    </row>
    <row r="42" spans="2:12" ht="24.95" customHeight="1" x14ac:dyDescent="0.2">
      <c r="B42" s="770" t="s">
        <v>88</v>
      </c>
      <c r="C42" s="771"/>
      <c r="D42" s="786"/>
      <c r="E42" s="786"/>
      <c r="F42" s="786"/>
      <c r="G42" s="786"/>
      <c r="H42" s="777"/>
      <c r="I42" s="778"/>
      <c r="J42" s="778"/>
      <c r="K42" s="779"/>
      <c r="L42" s="163"/>
    </row>
    <row r="43" spans="2:12" ht="24.95" customHeight="1" x14ac:dyDescent="0.2">
      <c r="B43" s="770" t="s">
        <v>108</v>
      </c>
      <c r="C43" s="771"/>
      <c r="D43" s="739"/>
      <c r="E43" s="739"/>
      <c r="F43" s="739"/>
      <c r="G43" s="739"/>
      <c r="H43" s="774"/>
      <c r="I43" s="775"/>
      <c r="J43" s="775"/>
      <c r="K43" s="776"/>
      <c r="L43" s="163"/>
    </row>
    <row r="44" spans="2:12" ht="24.95" customHeight="1" x14ac:dyDescent="0.2">
      <c r="B44" s="767" t="s">
        <v>90</v>
      </c>
      <c r="C44" s="768"/>
      <c r="D44" s="739"/>
      <c r="E44" s="739"/>
      <c r="F44" s="739"/>
      <c r="G44" s="739"/>
      <c r="H44" s="774"/>
      <c r="I44" s="775"/>
      <c r="J44" s="775"/>
      <c r="K44" s="776"/>
      <c r="L44" s="163"/>
    </row>
    <row r="45" spans="2:12" ht="24.95" customHeight="1" x14ac:dyDescent="0.2">
      <c r="B45" s="770" t="s">
        <v>116</v>
      </c>
      <c r="C45" s="771"/>
      <c r="D45" s="739"/>
      <c r="E45" s="739"/>
      <c r="F45" s="739"/>
      <c r="G45" s="739"/>
      <c r="H45" s="774"/>
      <c r="I45" s="775"/>
      <c r="J45" s="775"/>
      <c r="K45" s="776"/>
      <c r="L45" s="163"/>
    </row>
    <row r="46" spans="2:12" ht="24.95" customHeight="1" x14ac:dyDescent="0.2">
      <c r="B46" s="781" t="s">
        <v>86</v>
      </c>
      <c r="C46" s="782"/>
      <c r="D46" s="769" t="str">
        <f>IF(D45="Asphalt",$G$151,IF(D45="Concrete, finished",$G$152,IF(D45="Concrete, unfinished",$G$153,IF(D45="Grass",$G$154,IF(D45="Gravel Bottom/riprap sides",$G$155,IF(D45="Weeds",$G$156,""))))))</f>
        <v/>
      </c>
      <c r="E46" s="769"/>
      <c r="F46" s="769"/>
      <c r="G46" s="769"/>
      <c r="H46" s="769" t="str">
        <f>IF(H45="Asphalt",$G$151,IF(H45="Concrete, finished",$G$152,IF(H45="Concrete, unfinished",$G$153,IF(H45="Grass",$G$154,IF(H45="Gravel Bottom/riprap sides",$G$155,IF(H45="Weeds",$G$156,""))))))</f>
        <v/>
      </c>
      <c r="I46" s="769"/>
      <c r="J46" s="769"/>
      <c r="K46" s="769"/>
      <c r="L46" s="766" t="s">
        <v>174</v>
      </c>
    </row>
    <row r="47" spans="2:12" ht="24.95" customHeight="1" x14ac:dyDescent="0.2">
      <c r="B47" s="781" t="s">
        <v>109</v>
      </c>
      <c r="C47" s="782"/>
      <c r="D47" s="783">
        <f>IF(ISERROR(D43/D44),0,D43/D44)</f>
        <v>0</v>
      </c>
      <c r="E47" s="783"/>
      <c r="F47" s="783"/>
      <c r="G47" s="783"/>
      <c r="H47" s="783">
        <f>IF(ISERROR(H43/H44),0,H43/H44)</f>
        <v>0</v>
      </c>
      <c r="I47" s="783"/>
      <c r="J47" s="783"/>
      <c r="K47" s="783"/>
      <c r="L47" s="766"/>
    </row>
    <row r="48" spans="2:12" ht="24.95" customHeight="1" x14ac:dyDescent="0.2">
      <c r="B48" s="781" t="s">
        <v>96</v>
      </c>
      <c r="C48" s="782"/>
      <c r="D48" s="783">
        <f>IF(D44&gt;0,(1.49*(D47^(2/3))*(D42^0.5))/D46,0)</f>
        <v>0</v>
      </c>
      <c r="E48" s="783"/>
      <c r="F48" s="783"/>
      <c r="G48" s="783"/>
      <c r="H48" s="783">
        <f>IF(H44&gt;0,(1.49*(H47^(2/3))*(H42^0.5))/H46,0)</f>
        <v>0</v>
      </c>
      <c r="I48" s="783"/>
      <c r="J48" s="783"/>
      <c r="K48" s="783"/>
      <c r="L48" s="766"/>
    </row>
    <row r="49" spans="2:12" ht="24.95" customHeight="1" x14ac:dyDescent="0.2">
      <c r="B49" s="770" t="s">
        <v>89</v>
      </c>
      <c r="C49" s="780"/>
      <c r="D49" s="783">
        <f>IF(D44&gt;0,D41/(3600*D48),0)</f>
        <v>0</v>
      </c>
      <c r="E49" s="783"/>
      <c r="F49" s="783"/>
      <c r="G49" s="783"/>
      <c r="H49" s="783">
        <f>IF(H44&gt;0,H41/(3600*H48),0)</f>
        <v>0</v>
      </c>
      <c r="I49" s="783"/>
      <c r="J49" s="783"/>
      <c r="K49" s="783"/>
      <c r="L49" s="766"/>
    </row>
    <row r="50" spans="2:12" ht="24.95" customHeight="1" x14ac:dyDescent="0.2">
      <c r="B50" s="784" t="s">
        <v>407</v>
      </c>
      <c r="C50" s="785"/>
      <c r="D50" s="772"/>
      <c r="E50" s="772"/>
      <c r="F50" s="772"/>
      <c r="G50" s="772"/>
      <c r="H50" s="772"/>
      <c r="I50" s="772"/>
      <c r="J50" s="772"/>
      <c r="K50" s="773"/>
      <c r="L50" s="163"/>
    </row>
    <row r="51" spans="2:12" ht="24.95" customHeight="1" x14ac:dyDescent="0.2">
      <c r="B51" s="770" t="s">
        <v>87</v>
      </c>
      <c r="C51" s="771"/>
      <c r="D51" s="739"/>
      <c r="E51" s="739"/>
      <c r="F51" s="739"/>
      <c r="G51" s="739"/>
      <c r="H51" s="739"/>
      <c r="I51" s="739"/>
      <c r="J51" s="739"/>
      <c r="K51" s="739"/>
      <c r="L51" s="163"/>
    </row>
    <row r="52" spans="2:12" ht="24.95" customHeight="1" x14ac:dyDescent="0.2">
      <c r="B52" s="770" t="s">
        <v>88</v>
      </c>
      <c r="C52" s="771"/>
      <c r="D52" s="786"/>
      <c r="E52" s="786"/>
      <c r="F52" s="786"/>
      <c r="G52" s="786"/>
      <c r="H52" s="786"/>
      <c r="I52" s="786"/>
      <c r="J52" s="786"/>
      <c r="K52" s="786"/>
      <c r="L52" s="163"/>
    </row>
    <row r="53" spans="2:12" ht="24.95" customHeight="1" x14ac:dyDescent="0.2">
      <c r="B53" s="770" t="s">
        <v>108</v>
      </c>
      <c r="C53" s="771"/>
      <c r="D53" s="739"/>
      <c r="E53" s="739"/>
      <c r="F53" s="739"/>
      <c r="G53" s="739"/>
      <c r="H53" s="739"/>
      <c r="I53" s="739"/>
      <c r="J53" s="739"/>
      <c r="K53" s="739"/>
      <c r="L53" s="163"/>
    </row>
    <row r="54" spans="2:12" ht="24.95" customHeight="1" x14ac:dyDescent="0.2">
      <c r="B54" s="767" t="s">
        <v>90</v>
      </c>
      <c r="C54" s="768"/>
      <c r="D54" s="739"/>
      <c r="E54" s="739"/>
      <c r="F54" s="739"/>
      <c r="G54" s="739"/>
      <c r="H54" s="739"/>
      <c r="I54" s="739"/>
      <c r="J54" s="739"/>
      <c r="K54" s="739"/>
      <c r="L54" s="163"/>
    </row>
    <row r="55" spans="2:12" ht="24.95" customHeight="1" x14ac:dyDescent="0.2">
      <c r="B55" s="770" t="s">
        <v>116</v>
      </c>
      <c r="C55" s="771"/>
      <c r="D55" s="739"/>
      <c r="E55" s="739"/>
      <c r="F55" s="739"/>
      <c r="G55" s="739"/>
      <c r="H55" s="739"/>
      <c r="I55" s="739"/>
      <c r="J55" s="739"/>
      <c r="K55" s="739"/>
      <c r="L55" s="163"/>
    </row>
    <row r="56" spans="2:12" ht="24.95" customHeight="1" x14ac:dyDescent="0.2">
      <c r="B56" s="781" t="s">
        <v>86</v>
      </c>
      <c r="C56" s="782"/>
      <c r="D56" s="769" t="str">
        <f>IF(D55="Asphalt",$G$151,IF(D55="Concrete, finished",$G$152,IF(D55="Concrete, unfinished",$G$153,IF(D55="Grass",$G$154,IF(D55="Gravel Bottom/riprap sides",$G$155,IF(D55="Weeds",$G$156,""))))))</f>
        <v/>
      </c>
      <c r="E56" s="769"/>
      <c r="F56" s="769"/>
      <c r="G56" s="769"/>
      <c r="H56" s="769" t="str">
        <f>IF(H55="Asphalt",$G$151,IF(H55="Concrete, finished",$G$152,IF(H55="Concrete, unfinished",$G$153,IF(H55="Grass",$G$154,IF(H55="Gravel Bottom/riprap sides",$G$155,IF(H55="Weeds",$G$156,""))))))</f>
        <v/>
      </c>
      <c r="I56" s="769"/>
      <c r="J56" s="769"/>
      <c r="K56" s="769"/>
      <c r="L56" s="766" t="s">
        <v>174</v>
      </c>
    </row>
    <row r="57" spans="2:12" ht="24.95" customHeight="1" x14ac:dyDescent="0.2">
      <c r="B57" s="781" t="s">
        <v>109</v>
      </c>
      <c r="C57" s="782"/>
      <c r="D57" s="783">
        <f>IF(ISERROR(D53/D54),0,D53/D54)</f>
        <v>0</v>
      </c>
      <c r="E57" s="783"/>
      <c r="F57" s="783"/>
      <c r="G57" s="783"/>
      <c r="H57" s="783">
        <f>IF(ISERROR(H53/H54),0,H53/H54)</f>
        <v>0</v>
      </c>
      <c r="I57" s="783"/>
      <c r="J57" s="783"/>
      <c r="K57" s="783"/>
      <c r="L57" s="766"/>
    </row>
    <row r="58" spans="2:12" ht="24.95" customHeight="1" x14ac:dyDescent="0.2">
      <c r="B58" s="781" t="s">
        <v>96</v>
      </c>
      <c r="C58" s="782"/>
      <c r="D58" s="783">
        <f>IF(D54&gt;0,(1.49*(D57^(2/3))*(D52^0.5))/D56,0)</f>
        <v>0</v>
      </c>
      <c r="E58" s="783"/>
      <c r="F58" s="783"/>
      <c r="G58" s="783"/>
      <c r="H58" s="783">
        <f>IF(H54&gt;0,(1.49*(H57^(2/3))*(H52^0.5))/H56,0)</f>
        <v>0</v>
      </c>
      <c r="I58" s="783"/>
      <c r="J58" s="783"/>
      <c r="K58" s="783"/>
      <c r="L58" s="766"/>
    </row>
    <row r="59" spans="2:12" ht="24.95" customHeight="1" x14ac:dyDescent="0.2">
      <c r="B59" s="770" t="s">
        <v>89</v>
      </c>
      <c r="C59" s="780"/>
      <c r="D59" s="783">
        <f>IF(D54&gt;0,D51/(3600*D58),0)</f>
        <v>0</v>
      </c>
      <c r="E59" s="783"/>
      <c r="F59" s="783"/>
      <c r="G59" s="783"/>
      <c r="H59" s="783">
        <f>IF(H54&gt;0,H51/(3600*H58),0)</f>
        <v>0</v>
      </c>
      <c r="I59" s="783"/>
      <c r="J59" s="783"/>
      <c r="K59" s="783"/>
      <c r="L59" s="766"/>
    </row>
    <row r="60" spans="2:12" ht="24.95" customHeight="1" x14ac:dyDescent="0.2">
      <c r="B60" s="784" t="s">
        <v>408</v>
      </c>
      <c r="C60" s="785"/>
      <c r="D60" s="772"/>
      <c r="E60" s="772"/>
      <c r="F60" s="772"/>
      <c r="G60" s="772"/>
      <c r="H60" s="772"/>
      <c r="I60" s="772"/>
      <c r="J60" s="772"/>
      <c r="K60" s="773"/>
      <c r="L60" s="163"/>
    </row>
    <row r="61" spans="2:12" ht="24.95" customHeight="1" x14ac:dyDescent="0.2">
      <c r="B61" s="770" t="s">
        <v>87</v>
      </c>
      <c r="C61" s="771"/>
      <c r="D61" s="739"/>
      <c r="E61" s="739"/>
      <c r="F61" s="739"/>
      <c r="G61" s="739"/>
      <c r="H61" s="739"/>
      <c r="I61" s="739"/>
      <c r="J61" s="739"/>
      <c r="K61" s="739"/>
      <c r="L61" s="163"/>
    </row>
    <row r="62" spans="2:12" ht="24.95" customHeight="1" x14ac:dyDescent="0.2">
      <c r="B62" s="770" t="s">
        <v>88</v>
      </c>
      <c r="C62" s="771"/>
      <c r="D62" s="786"/>
      <c r="E62" s="786"/>
      <c r="F62" s="786"/>
      <c r="G62" s="786"/>
      <c r="H62" s="786"/>
      <c r="I62" s="786"/>
      <c r="J62" s="786"/>
      <c r="K62" s="786"/>
      <c r="L62" s="163"/>
    </row>
    <row r="63" spans="2:12" ht="24.95" customHeight="1" x14ac:dyDescent="0.2">
      <c r="B63" s="770" t="s">
        <v>108</v>
      </c>
      <c r="C63" s="771"/>
      <c r="D63" s="739"/>
      <c r="E63" s="739"/>
      <c r="F63" s="739"/>
      <c r="G63" s="739"/>
      <c r="H63" s="739"/>
      <c r="I63" s="739"/>
      <c r="J63" s="739"/>
      <c r="K63" s="739"/>
      <c r="L63" s="163"/>
    </row>
    <row r="64" spans="2:12" ht="24.95" customHeight="1" x14ac:dyDescent="0.2">
      <c r="B64" s="821" t="s">
        <v>90</v>
      </c>
      <c r="C64" s="822"/>
      <c r="D64" s="739"/>
      <c r="E64" s="739"/>
      <c r="F64" s="739"/>
      <c r="G64" s="739"/>
      <c r="H64" s="739"/>
      <c r="I64" s="739"/>
      <c r="J64" s="739"/>
      <c r="K64" s="739"/>
      <c r="L64" s="163"/>
    </row>
    <row r="65" spans="1:27" ht="24.95" customHeight="1" x14ac:dyDescent="0.2">
      <c r="B65" s="770" t="s">
        <v>116</v>
      </c>
      <c r="C65" s="771"/>
      <c r="D65" s="739"/>
      <c r="E65" s="739"/>
      <c r="F65" s="739"/>
      <c r="G65" s="739"/>
      <c r="H65" s="739"/>
      <c r="I65" s="739"/>
      <c r="J65" s="739"/>
      <c r="K65" s="739"/>
      <c r="L65" s="163"/>
    </row>
    <row r="66" spans="1:27" ht="24.95" customHeight="1" x14ac:dyDescent="0.2">
      <c r="B66" s="781" t="s">
        <v>86</v>
      </c>
      <c r="C66" s="782"/>
      <c r="D66" s="769" t="str">
        <f>IF(D65="Asphalt",$G$151,IF(D65="Concrete, finished",$G$152,IF(D65="Concrete, unfinished",$G$153,IF(D65="Grass",$G$154,IF(D65="Gravel Bottom/riprap sides",$G$155,IF(D65="Weeds",$G$156,""))))))</f>
        <v/>
      </c>
      <c r="E66" s="769"/>
      <c r="F66" s="769"/>
      <c r="G66" s="769"/>
      <c r="H66" s="769" t="str">
        <f>IF(H65="Asphalt",$G$151,IF(H65="Concrete, finished",$G$152,IF(H65="Concrete, unfinished",$G$153,IF(H65="Grass",$G$154,IF(H65="Gravel Bottom/riprap sides",$G$155,IF(H65="Weeds",$G$156,""))))))</f>
        <v/>
      </c>
      <c r="I66" s="769"/>
      <c r="J66" s="769"/>
      <c r="K66" s="769"/>
      <c r="L66" s="766" t="s">
        <v>174</v>
      </c>
    </row>
    <row r="67" spans="1:27" ht="24.95" customHeight="1" x14ac:dyDescent="0.2">
      <c r="B67" s="781" t="s">
        <v>109</v>
      </c>
      <c r="C67" s="782"/>
      <c r="D67" s="783">
        <f>IF(ISERROR(D63/D64),0,D63/D64)</f>
        <v>0</v>
      </c>
      <c r="E67" s="783"/>
      <c r="F67" s="783"/>
      <c r="G67" s="783"/>
      <c r="H67" s="783">
        <f>IF(ISERROR(H63/H64),0,H63/H64)</f>
        <v>0</v>
      </c>
      <c r="I67" s="783"/>
      <c r="J67" s="783"/>
      <c r="K67" s="783"/>
      <c r="L67" s="766"/>
    </row>
    <row r="68" spans="1:27" ht="24.95" customHeight="1" x14ac:dyDescent="0.2">
      <c r="B68" s="781" t="s">
        <v>96</v>
      </c>
      <c r="C68" s="782"/>
      <c r="D68" s="783">
        <f>IF(D64&gt;0,(1.49*(D67^(2/3))*(D62^0.5))/D66,0)</f>
        <v>0</v>
      </c>
      <c r="E68" s="783"/>
      <c r="F68" s="783"/>
      <c r="G68" s="783"/>
      <c r="H68" s="783">
        <f>IF(H64&gt;0,(1.49*(H67^(2/3))*(H62^0.5))/H66,0)</f>
        <v>0</v>
      </c>
      <c r="I68" s="783"/>
      <c r="J68" s="783"/>
      <c r="K68" s="783"/>
      <c r="L68" s="766"/>
    </row>
    <row r="69" spans="1:27" ht="24.95" customHeight="1" x14ac:dyDescent="0.2">
      <c r="B69" s="770" t="s">
        <v>89</v>
      </c>
      <c r="C69" s="780"/>
      <c r="D69" s="783">
        <f>IF(D64&gt;0,D61/(3600*D68),0)</f>
        <v>0</v>
      </c>
      <c r="E69" s="783"/>
      <c r="F69" s="783"/>
      <c r="G69" s="783"/>
      <c r="H69" s="783">
        <f>IF(H64&gt;0,H61/(3600*H68),0)</f>
        <v>0</v>
      </c>
      <c r="I69" s="783"/>
      <c r="J69" s="783"/>
      <c r="K69" s="783"/>
      <c r="L69" s="766"/>
    </row>
    <row r="70" spans="1:27" ht="24.95" customHeight="1" thickBot="1" x14ac:dyDescent="0.25">
      <c r="B70" s="819" t="s">
        <v>125</v>
      </c>
      <c r="C70" s="820"/>
      <c r="D70" s="739" t="e">
        <f>D69+D59+D49+D39+D33</f>
        <v>#VALUE!</v>
      </c>
      <c r="E70" s="739"/>
      <c r="F70" s="739"/>
      <c r="G70" s="739"/>
      <c r="H70" s="739" t="e">
        <f>H69+H59+H49+H39+H33</f>
        <v>#VALUE!</v>
      </c>
      <c r="I70" s="739"/>
      <c r="J70" s="739"/>
      <c r="K70" s="739"/>
      <c r="L70" s="566" t="s">
        <v>176</v>
      </c>
    </row>
    <row r="71" spans="1:27" ht="24.95" customHeight="1" thickTop="1" thickBot="1" x14ac:dyDescent="0.3">
      <c r="B71" s="443" t="s">
        <v>134</v>
      </c>
      <c r="C71" s="445"/>
      <c r="D71" s="762" t="s">
        <v>9</v>
      </c>
      <c r="E71" s="762"/>
      <c r="F71" s="762"/>
      <c r="G71" s="762"/>
      <c r="H71" s="762" t="s">
        <v>30</v>
      </c>
      <c r="I71" s="762"/>
      <c r="J71" s="762"/>
      <c r="K71" s="762"/>
      <c r="L71" s="163"/>
    </row>
    <row r="72" spans="1:27" s="169" customFormat="1" ht="24.95" hidden="1" customHeight="1" thickTop="1" x14ac:dyDescent="0.2">
      <c r="A72" s="216"/>
      <c r="B72" s="826" t="s">
        <v>386</v>
      </c>
      <c r="C72" s="827"/>
      <c r="D72" s="816" t="e">
        <f>C122*0.2</f>
        <v>#VALUE!</v>
      </c>
      <c r="E72" s="817"/>
      <c r="F72" s="817"/>
      <c r="G72" s="818"/>
      <c r="H72" s="816" t="e">
        <f>C130*0.2</f>
        <v>#VALUE!</v>
      </c>
      <c r="I72" s="817"/>
      <c r="J72" s="817"/>
      <c r="K72" s="832"/>
      <c r="L72" s="420"/>
      <c r="M72" s="216"/>
      <c r="N72" s="216"/>
      <c r="O72" s="216"/>
      <c r="P72" s="216"/>
      <c r="Q72" s="216"/>
      <c r="R72" s="216"/>
      <c r="S72" s="216"/>
      <c r="T72" s="216"/>
      <c r="U72" s="216"/>
      <c r="V72" s="216"/>
      <c r="W72" s="216"/>
      <c r="X72" s="216"/>
      <c r="Y72" s="216"/>
      <c r="Z72" s="216"/>
      <c r="AA72" s="216"/>
    </row>
    <row r="73" spans="1:27" s="169" customFormat="1" ht="24.95" hidden="1" customHeight="1" x14ac:dyDescent="0.2">
      <c r="A73" s="216"/>
      <c r="B73" s="814" t="s">
        <v>387</v>
      </c>
      <c r="C73" s="815"/>
      <c r="D73" s="812" t="e">
        <f>D72/$D$11</f>
        <v>#VALUE!</v>
      </c>
      <c r="E73" s="812"/>
      <c r="F73" s="812"/>
      <c r="G73" s="812"/>
      <c r="H73" s="812" t="e">
        <f>H72/$D$11</f>
        <v>#VALUE!</v>
      </c>
      <c r="I73" s="812"/>
      <c r="J73" s="812"/>
      <c r="K73" s="813"/>
      <c r="L73" s="421"/>
      <c r="M73" s="216"/>
      <c r="N73" s="216"/>
      <c r="O73" s="216"/>
      <c r="P73" s="216"/>
      <c r="Q73" s="216"/>
      <c r="R73" s="216"/>
      <c r="S73" s="216"/>
      <c r="T73" s="216"/>
      <c r="U73" s="216"/>
      <c r="V73" s="216"/>
      <c r="W73" s="216"/>
      <c r="X73" s="216"/>
      <c r="Y73" s="216"/>
      <c r="Z73" s="216"/>
      <c r="AA73" s="216"/>
    </row>
    <row r="74" spans="1:27" ht="24.95" customHeight="1" thickTop="1" thickBot="1" x14ac:dyDescent="0.25">
      <c r="B74" s="828" t="s">
        <v>132</v>
      </c>
      <c r="C74" s="829"/>
      <c r="D74" s="763" t="e">
        <f>$G$109</f>
        <v>#VALUE!</v>
      </c>
      <c r="E74" s="763"/>
      <c r="F74" s="763"/>
      <c r="G74" s="763"/>
      <c r="H74" s="763" t="e">
        <f>$H$109</f>
        <v>#VALUE!</v>
      </c>
      <c r="I74" s="763"/>
      <c r="J74" s="763"/>
      <c r="K74" s="763"/>
      <c r="L74" s="566" t="s">
        <v>177</v>
      </c>
    </row>
    <row r="75" spans="1:27" s="142" customFormat="1" ht="24.95" customHeight="1" thickTop="1" thickBot="1" x14ac:dyDescent="0.25">
      <c r="A75" s="141"/>
      <c r="B75" s="750" t="s">
        <v>223</v>
      </c>
      <c r="C75" s="751"/>
      <c r="D75" s="436"/>
      <c r="E75" s="436"/>
      <c r="F75" s="436"/>
      <c r="G75" s="436"/>
      <c r="H75" s="436"/>
      <c r="I75" s="436"/>
      <c r="J75" s="436"/>
      <c r="K75" s="437"/>
      <c r="L75" s="422"/>
      <c r="M75" s="141"/>
      <c r="N75" s="141"/>
      <c r="O75" s="141"/>
      <c r="P75" s="141"/>
      <c r="Q75" s="141"/>
      <c r="R75" s="141"/>
      <c r="S75" s="141"/>
      <c r="T75" s="141"/>
      <c r="U75" s="141"/>
      <c r="V75" s="141"/>
      <c r="W75" s="141"/>
      <c r="X75" s="141"/>
      <c r="Y75" s="141"/>
      <c r="Z75" s="141"/>
      <c r="AA75" s="141"/>
    </row>
    <row r="76" spans="1:27" s="144" customFormat="1" ht="24.95" customHeight="1" thickTop="1" x14ac:dyDescent="0.2">
      <c r="A76" s="143"/>
      <c r="B76" s="740" t="s">
        <v>402</v>
      </c>
      <c r="C76" s="741"/>
      <c r="D76" s="742">
        <f>SUM($H$26:$K$26)</f>
        <v>0</v>
      </c>
      <c r="E76" s="743"/>
      <c r="F76" s="743"/>
      <c r="G76" s="743"/>
      <c r="H76" s="743"/>
      <c r="I76" s="743"/>
      <c r="J76" s="743"/>
      <c r="K76" s="744"/>
      <c r="L76" s="566" t="s">
        <v>222</v>
      </c>
      <c r="M76" s="143"/>
      <c r="N76" s="143"/>
      <c r="O76" s="143"/>
      <c r="P76" s="143"/>
      <c r="Q76" s="143"/>
      <c r="R76" s="143"/>
      <c r="S76" s="143"/>
      <c r="T76" s="143"/>
      <c r="U76" s="143"/>
      <c r="V76" s="143"/>
      <c r="W76" s="143"/>
      <c r="X76" s="143"/>
      <c r="Y76" s="143"/>
      <c r="Z76" s="143"/>
      <c r="AA76" s="143"/>
    </row>
    <row r="77" spans="1:27" s="144" customFormat="1" ht="24.95" customHeight="1" thickBot="1" x14ac:dyDescent="0.25">
      <c r="A77" s="143"/>
      <c r="B77" s="745" t="s">
        <v>403</v>
      </c>
      <c r="C77" s="746"/>
      <c r="D77" s="747" t="e">
        <f>IF(D76&gt;0,$C$188,H74)</f>
        <v>#VALUE!</v>
      </c>
      <c r="E77" s="748"/>
      <c r="F77" s="748"/>
      <c r="G77" s="748"/>
      <c r="H77" s="748"/>
      <c r="I77" s="748"/>
      <c r="J77" s="748"/>
      <c r="K77" s="749"/>
      <c r="L77" s="423"/>
      <c r="M77" s="143"/>
      <c r="N77" s="143"/>
      <c r="O77" s="143"/>
      <c r="P77" s="143"/>
      <c r="Q77" s="143"/>
      <c r="R77" s="143"/>
      <c r="S77" s="143"/>
      <c r="T77" s="143"/>
      <c r="U77" s="143"/>
      <c r="V77" s="143"/>
      <c r="W77" s="143"/>
      <c r="X77" s="143"/>
      <c r="Y77" s="143"/>
      <c r="Z77" s="143"/>
      <c r="AA77" s="143"/>
    </row>
    <row r="78" spans="1:27" ht="24.95" customHeight="1" thickTop="1" thickBot="1" x14ac:dyDescent="0.25">
      <c r="B78" s="750" t="s">
        <v>385</v>
      </c>
      <c r="C78" s="751"/>
      <c r="D78" s="436"/>
      <c r="E78" s="436"/>
      <c r="F78" s="436"/>
      <c r="G78" s="436"/>
      <c r="H78" s="436"/>
      <c r="I78" s="436"/>
      <c r="J78" s="436"/>
      <c r="K78" s="437"/>
      <c r="L78" s="163"/>
    </row>
    <row r="79" spans="1:27" s="555" customFormat="1" ht="24.95" hidden="1" customHeight="1" thickTop="1" x14ac:dyDescent="0.2">
      <c r="A79" s="554"/>
      <c r="B79" s="764" t="s">
        <v>552</v>
      </c>
      <c r="C79" s="765"/>
      <c r="D79" s="823">
        <f>IF(ISERROR(C170),"",(C170))</f>
        <v>0</v>
      </c>
      <c r="E79" s="824"/>
      <c r="F79" s="824"/>
      <c r="G79" s="824"/>
      <c r="H79" s="824"/>
      <c r="I79" s="824"/>
      <c r="J79" s="824"/>
      <c r="K79" s="825"/>
      <c r="L79" s="553" t="s">
        <v>389</v>
      </c>
      <c r="M79" s="554"/>
      <c r="N79" s="554"/>
      <c r="O79" s="554"/>
      <c r="P79" s="554"/>
      <c r="Q79" s="554"/>
      <c r="R79" s="554"/>
      <c r="S79" s="554"/>
      <c r="T79" s="554"/>
      <c r="U79" s="554"/>
      <c r="V79" s="554"/>
      <c r="W79" s="554"/>
      <c r="X79" s="554"/>
      <c r="Y79" s="554"/>
      <c r="Z79" s="554"/>
      <c r="AA79" s="554"/>
    </row>
    <row r="80" spans="1:27" ht="41.25" customHeight="1" thickTop="1" thickBot="1" x14ac:dyDescent="0.25">
      <c r="B80" s="757" t="s">
        <v>590</v>
      </c>
      <c r="C80" s="758"/>
      <c r="D80" s="759" t="str">
        <f>IF(ISERROR($K$175),"",($K$175))</f>
        <v/>
      </c>
      <c r="E80" s="760"/>
      <c r="F80" s="760"/>
      <c r="G80" s="760"/>
      <c r="H80" s="760"/>
      <c r="I80" s="760"/>
      <c r="J80" s="760"/>
      <c r="K80" s="761"/>
      <c r="L80" s="566" t="s">
        <v>389</v>
      </c>
    </row>
    <row r="81" spans="1:27" ht="24.95" customHeight="1" thickTop="1" thickBot="1" x14ac:dyDescent="0.25">
      <c r="B81" s="750" t="s">
        <v>384</v>
      </c>
      <c r="C81" s="751"/>
      <c r="D81" s="436"/>
      <c r="E81" s="436"/>
      <c r="F81" s="436"/>
      <c r="G81" s="436"/>
      <c r="H81" s="436"/>
      <c r="I81" s="436"/>
      <c r="J81" s="436"/>
      <c r="K81" s="437"/>
      <c r="L81" s="163"/>
    </row>
    <row r="82" spans="1:27" ht="24.95" customHeight="1" thickTop="1" x14ac:dyDescent="0.2">
      <c r="B82" s="754" t="s">
        <v>390</v>
      </c>
      <c r="C82" s="753"/>
      <c r="D82" s="755" t="e">
        <f>IF(D72&gt;'SITE DATA'!$F$26,0,C123)</f>
        <v>#VALUE!</v>
      </c>
      <c r="E82" s="755"/>
      <c r="F82" s="755"/>
      <c r="G82" s="755"/>
      <c r="H82" s="755" t="e">
        <f>IF(H72&gt;'SITE DATA'!$F$26,0,C131)</f>
        <v>#VALUE!</v>
      </c>
      <c r="I82" s="755"/>
      <c r="J82" s="755"/>
      <c r="K82" s="755"/>
      <c r="L82" s="566" t="s">
        <v>178</v>
      </c>
    </row>
    <row r="83" spans="1:27" ht="24.95" customHeight="1" x14ac:dyDescent="0.2">
      <c r="B83" s="752" t="s">
        <v>349</v>
      </c>
      <c r="C83" s="753"/>
      <c r="D83" s="756" t="e">
        <f>ROUND(IF(ISERROR((D82/12)*(D10*43560)),"",((D82/12)*(D10*43560))),0)</f>
        <v>#VALUE!</v>
      </c>
      <c r="E83" s="756"/>
      <c r="F83" s="756"/>
      <c r="G83" s="756"/>
      <c r="H83" s="756">
        <f>ROUND(IF(ISERROR((H82/12)*(H10*43560)),0,((H82/12)*(H10*43560))),0)</f>
        <v>0</v>
      </c>
      <c r="I83" s="756"/>
      <c r="J83" s="756"/>
      <c r="K83" s="756"/>
      <c r="L83" s="424"/>
    </row>
    <row r="84" spans="1:27" ht="39" customHeight="1" x14ac:dyDescent="0.2">
      <c r="B84" s="757" t="s">
        <v>559</v>
      </c>
      <c r="C84" s="758"/>
      <c r="D84" s="756" t="str">
        <f>IF(ISERROR(H83-D83),"",(H83-D83))</f>
        <v/>
      </c>
      <c r="E84" s="756"/>
      <c r="F84" s="756"/>
      <c r="G84" s="756"/>
      <c r="H84" s="756"/>
      <c r="I84" s="756"/>
      <c r="J84" s="756"/>
      <c r="K84" s="756"/>
      <c r="L84" s="425"/>
    </row>
    <row r="85" spans="1:27" ht="24.95" customHeight="1" thickBot="1" x14ac:dyDescent="0.25">
      <c r="B85" s="752" t="s">
        <v>350</v>
      </c>
      <c r="C85" s="753"/>
      <c r="D85" s="809" t="e">
        <f>H127</f>
        <v>#VALUE!</v>
      </c>
      <c r="E85" s="809"/>
      <c r="F85" s="809"/>
      <c r="G85" s="809"/>
      <c r="H85" s="809" t="e">
        <f>H135</f>
        <v>#VALUE!</v>
      </c>
      <c r="I85" s="809"/>
      <c r="J85" s="809"/>
      <c r="K85" s="809"/>
      <c r="L85" s="426" t="s">
        <v>159</v>
      </c>
    </row>
    <row r="86" spans="1:27" ht="24.95" customHeight="1" thickTop="1" thickBot="1" x14ac:dyDescent="0.25">
      <c r="B86" s="750" t="s">
        <v>374</v>
      </c>
      <c r="C86" s="751"/>
      <c r="D86" s="436"/>
      <c r="E86" s="436"/>
      <c r="F86" s="436"/>
      <c r="G86" s="436"/>
      <c r="H86" s="436"/>
      <c r="I86" s="436"/>
      <c r="J86" s="436"/>
      <c r="K86" s="437"/>
      <c r="L86" s="426"/>
    </row>
    <row r="87" spans="1:27" ht="24.95" customHeight="1" thickTop="1" x14ac:dyDescent="0.2">
      <c r="B87" s="754" t="s">
        <v>391</v>
      </c>
      <c r="C87" s="753"/>
      <c r="D87" s="755" t="e">
        <f>IF($D$72&gt;'SITE DATA'!$F$27,0,C124)</f>
        <v>#VALUE!</v>
      </c>
      <c r="E87" s="755"/>
      <c r="F87" s="755"/>
      <c r="G87" s="755"/>
      <c r="H87" s="755" t="e">
        <f>IF($H$72&gt;'SITE DATA'!$F$27,0,C132)</f>
        <v>#VALUE!</v>
      </c>
      <c r="I87" s="755"/>
      <c r="J87" s="755"/>
      <c r="K87" s="755"/>
      <c r="L87" s="566" t="s">
        <v>178</v>
      </c>
    </row>
    <row r="88" spans="1:27" ht="24.95" customHeight="1" x14ac:dyDescent="0.2">
      <c r="B88" s="752" t="s">
        <v>349</v>
      </c>
      <c r="C88" s="753"/>
      <c r="D88" s="756" t="e">
        <f>(D87/12)*($D$10*43560)</f>
        <v>#VALUE!</v>
      </c>
      <c r="E88" s="756"/>
      <c r="F88" s="756"/>
      <c r="G88" s="756"/>
      <c r="H88" s="756" t="e">
        <f>(H87/12)*(H10*43560)</f>
        <v>#VALUE!</v>
      </c>
      <c r="I88" s="756"/>
      <c r="J88" s="756"/>
      <c r="K88" s="756"/>
      <c r="L88" s="426"/>
    </row>
    <row r="89" spans="1:27" ht="24.95" customHeight="1" thickBot="1" x14ac:dyDescent="0.25">
      <c r="B89" s="752" t="s">
        <v>351</v>
      </c>
      <c r="C89" s="753"/>
      <c r="D89" s="809" t="e">
        <f>H128</f>
        <v>#VALUE!</v>
      </c>
      <c r="E89" s="809"/>
      <c r="F89" s="809"/>
      <c r="G89" s="809"/>
      <c r="H89" s="809" t="e">
        <f>H136</f>
        <v>#VALUE!</v>
      </c>
      <c r="I89" s="809"/>
      <c r="J89" s="809"/>
      <c r="K89" s="809"/>
      <c r="L89" s="426" t="s">
        <v>159</v>
      </c>
    </row>
    <row r="90" spans="1:27" ht="24.95" customHeight="1" thickTop="1" thickBot="1" x14ac:dyDescent="0.25">
      <c r="B90" s="750" t="s">
        <v>376</v>
      </c>
      <c r="C90" s="751"/>
      <c r="D90" s="436"/>
      <c r="E90" s="436"/>
      <c r="F90" s="436"/>
      <c r="G90" s="436"/>
      <c r="H90" s="436"/>
      <c r="I90" s="436"/>
      <c r="J90" s="436"/>
      <c r="K90" s="437"/>
      <c r="L90" s="426"/>
    </row>
    <row r="91" spans="1:27" ht="24.95" customHeight="1" thickTop="1" x14ac:dyDescent="0.2">
      <c r="B91" s="754" t="s">
        <v>392</v>
      </c>
      <c r="C91" s="753"/>
      <c r="D91" s="755" t="e">
        <f>IF($D$72&gt;'SITE DATA'!F28,0,C125)</f>
        <v>#VALUE!</v>
      </c>
      <c r="E91" s="755"/>
      <c r="F91" s="755"/>
      <c r="G91" s="755"/>
      <c r="H91" s="755" t="e">
        <f>IF($H$72&gt;'SITE DATA'!F28,0,C133)</f>
        <v>#VALUE!</v>
      </c>
      <c r="I91" s="755"/>
      <c r="J91" s="755"/>
      <c r="K91" s="755"/>
      <c r="L91" s="566" t="s">
        <v>178</v>
      </c>
    </row>
    <row r="92" spans="1:27" ht="24.95" customHeight="1" x14ac:dyDescent="0.2">
      <c r="B92" s="752" t="s">
        <v>349</v>
      </c>
      <c r="C92" s="753"/>
      <c r="D92" s="756" t="e">
        <f>(D91/12)*($D$10*43560)</f>
        <v>#VALUE!</v>
      </c>
      <c r="E92" s="756"/>
      <c r="F92" s="756"/>
      <c r="G92" s="756"/>
      <c r="H92" s="756" t="e">
        <f>(H91/12)*($D$10*43560)</f>
        <v>#VALUE!</v>
      </c>
      <c r="I92" s="756"/>
      <c r="J92" s="756"/>
      <c r="K92" s="756"/>
      <c r="L92" s="426"/>
    </row>
    <row r="93" spans="1:27" ht="24.95" customHeight="1" thickBot="1" x14ac:dyDescent="0.25">
      <c r="B93" s="810" t="s">
        <v>352</v>
      </c>
      <c r="C93" s="811"/>
      <c r="D93" s="808" t="e">
        <f>H129</f>
        <v>#VALUE!</v>
      </c>
      <c r="E93" s="808"/>
      <c r="F93" s="808"/>
      <c r="G93" s="808"/>
      <c r="H93" s="808" t="e">
        <f>H137</f>
        <v>#VALUE!</v>
      </c>
      <c r="I93" s="808"/>
      <c r="J93" s="808"/>
      <c r="K93" s="808"/>
      <c r="L93" s="426"/>
    </row>
    <row r="94" spans="1:27" s="507" customFormat="1" ht="24.95" hidden="1" customHeight="1" thickTop="1" x14ac:dyDescent="0.2">
      <c r="B94" s="165"/>
      <c r="C94" s="165"/>
      <c r="D94" s="807" t="e">
        <f>IF($H$93&gt;$D$93,"Post-development peak flow exceeds pre-development peak flow for this DA!","")</f>
        <v>#VALUE!</v>
      </c>
      <c r="E94" s="807"/>
      <c r="F94" s="807"/>
      <c r="G94" s="807"/>
      <c r="H94" s="807"/>
      <c r="I94" s="807"/>
      <c r="J94" s="807"/>
      <c r="K94" s="807"/>
    </row>
    <row r="95" spans="1:27" s="507" customFormat="1" ht="15" hidden="1" customHeight="1" x14ac:dyDescent="0.2">
      <c r="B95" s="155"/>
      <c r="C95" s="165"/>
      <c r="D95" s="167"/>
      <c r="E95" s="167"/>
      <c r="F95" s="167"/>
      <c r="G95" s="167"/>
      <c r="H95" s="167"/>
      <c r="I95" s="167"/>
      <c r="J95" s="167"/>
      <c r="K95" s="167"/>
      <c r="L95" s="168"/>
    </row>
    <row r="96" spans="1:27" s="169" customFormat="1" ht="15.75" hidden="1" customHeight="1" x14ac:dyDescent="0.25">
      <c r="A96" s="216"/>
      <c r="B96" s="806" t="s">
        <v>126</v>
      </c>
      <c r="C96" s="806"/>
      <c r="D96" s="806"/>
      <c r="E96" s="806"/>
      <c r="F96" s="806"/>
      <c r="G96" s="806"/>
      <c r="H96" s="806"/>
      <c r="I96" s="806"/>
      <c r="J96" s="806"/>
      <c r="K96" s="806"/>
      <c r="L96" s="806"/>
      <c r="M96" s="216"/>
      <c r="N96" s="216"/>
      <c r="O96" s="216"/>
      <c r="P96" s="216"/>
      <c r="Q96" s="216"/>
      <c r="R96" s="216"/>
      <c r="S96" s="216"/>
      <c r="T96" s="216"/>
      <c r="U96" s="216"/>
      <c r="V96" s="216"/>
      <c r="W96" s="216"/>
      <c r="X96" s="216"/>
      <c r="Y96" s="216"/>
      <c r="Z96" s="216"/>
      <c r="AA96" s="216"/>
    </row>
    <row r="97" spans="2:14" s="507" customFormat="1" ht="15" hidden="1" customHeight="1" x14ac:dyDescent="0.2">
      <c r="K97" s="167"/>
      <c r="L97" s="168"/>
    </row>
    <row r="98" spans="2:14" ht="18.75" hidden="1" customHeight="1" thickBot="1" x14ac:dyDescent="0.25">
      <c r="B98" s="855" t="s">
        <v>133</v>
      </c>
      <c r="C98" s="856"/>
      <c r="D98" s="856"/>
      <c r="E98" s="856"/>
      <c r="F98" s="856"/>
      <c r="G98" s="856"/>
      <c r="H98" s="856"/>
      <c r="I98" s="856"/>
      <c r="J98" s="170"/>
      <c r="K98" s="507"/>
      <c r="L98" s="507"/>
    </row>
    <row r="99" spans="2:14" ht="60" hidden="1" customHeight="1" x14ac:dyDescent="0.2">
      <c r="B99" s="171" t="s">
        <v>14</v>
      </c>
      <c r="C99" s="172" t="s">
        <v>15</v>
      </c>
      <c r="D99" s="172" t="s">
        <v>16</v>
      </c>
      <c r="E99" s="172" t="s">
        <v>18</v>
      </c>
      <c r="F99" s="172" t="s">
        <v>17</v>
      </c>
      <c r="G99" s="224" t="s">
        <v>289</v>
      </c>
      <c r="H99" s="225" t="s">
        <v>290</v>
      </c>
      <c r="I99" s="250" t="s">
        <v>377</v>
      </c>
      <c r="J99" s="249"/>
      <c r="K99" s="508"/>
      <c r="L99" s="507"/>
    </row>
    <row r="100" spans="2:14" ht="15" hidden="1" customHeight="1" x14ac:dyDescent="0.2">
      <c r="B100" s="173" t="s">
        <v>12</v>
      </c>
      <c r="C100" s="568">
        <v>39</v>
      </c>
      <c r="D100" s="568">
        <v>61</v>
      </c>
      <c r="E100" s="568">
        <v>74</v>
      </c>
      <c r="F100" s="568">
        <v>80</v>
      </c>
      <c r="G100" s="567" t="e">
        <f t="shared" ref="G100:G107" si="0">(C100*D17)+(D100*E17)+(E100*F17)+(F100*G17)</f>
        <v>#VALUE!</v>
      </c>
      <c r="H100" s="569" t="e">
        <f>($C$100*$H$17)+($D$100*$I$17)+($E$100*$J$17)+($F$100*$K$17)</f>
        <v>#VALUE!</v>
      </c>
      <c r="I100" s="251" t="e">
        <f>($C$100*$H$17)+($D$100*$I$17)+($E$100*$J$17)+($F$100*$K$17)</f>
        <v>#VALUE!</v>
      </c>
      <c r="J100" s="508"/>
      <c r="K100" s="508"/>
      <c r="L100" s="507"/>
    </row>
    <row r="101" spans="2:14" ht="18" hidden="1" customHeight="1" x14ac:dyDescent="0.2">
      <c r="B101" s="173" t="s">
        <v>233</v>
      </c>
      <c r="C101" s="568">
        <v>45</v>
      </c>
      <c r="D101" s="568">
        <v>66</v>
      </c>
      <c r="E101" s="568">
        <v>77</v>
      </c>
      <c r="F101" s="568">
        <v>83</v>
      </c>
      <c r="G101" s="567">
        <f t="shared" si="0"/>
        <v>0</v>
      </c>
      <c r="H101" s="569">
        <f>($C$101*$H$18)+($D$101*$I$18)+($E$101*$J$18)+($F$101*$K$18)</f>
        <v>0</v>
      </c>
      <c r="I101" s="251">
        <f>($C$101*$H$18)+($D$101*$I$18)+($E$101*$J$18)+($F$101*$K$18)</f>
        <v>0</v>
      </c>
      <c r="J101" s="508"/>
      <c r="K101" s="508"/>
      <c r="L101" s="507"/>
    </row>
    <row r="102" spans="2:14" ht="18" hidden="1" customHeight="1" x14ac:dyDescent="0.2">
      <c r="B102" s="173" t="s">
        <v>235</v>
      </c>
      <c r="C102" s="568">
        <v>36</v>
      </c>
      <c r="D102" s="568">
        <v>60</v>
      </c>
      <c r="E102" s="568">
        <v>73</v>
      </c>
      <c r="F102" s="568">
        <v>79</v>
      </c>
      <c r="G102" s="567">
        <f t="shared" si="0"/>
        <v>0</v>
      </c>
      <c r="H102" s="569">
        <f>($C$102*$H$19)+($D$102*$I$19)+($E$102*$J$19)+($F$102*$K$19)</f>
        <v>0</v>
      </c>
      <c r="I102" s="251">
        <f>($C$102*$H$19)+($D$102*$I$19)+($E$102*$J$19)+($F$102*$K$19)</f>
        <v>0</v>
      </c>
      <c r="J102" s="508"/>
      <c r="K102" s="508"/>
      <c r="L102" s="507"/>
    </row>
    <row r="103" spans="2:14" ht="18" hidden="1" customHeight="1" x14ac:dyDescent="0.2">
      <c r="B103" s="173" t="s">
        <v>236</v>
      </c>
      <c r="C103" s="568">
        <v>30</v>
      </c>
      <c r="D103" s="568">
        <v>55</v>
      </c>
      <c r="E103" s="568">
        <v>70</v>
      </c>
      <c r="F103" s="568">
        <v>77</v>
      </c>
      <c r="G103" s="567" t="e">
        <f t="shared" si="0"/>
        <v>#VALUE!</v>
      </c>
      <c r="H103" s="569" t="e">
        <f>($C$103*$H$20)+($D$103*$I$20)+($E$103*$J$20)+($F$103*$K$20)</f>
        <v>#VALUE!</v>
      </c>
      <c r="I103" s="251" t="e">
        <f>($C$103*$H$20)+($D$103*$I$20)+($E$103*$J$20)+($F$103*$K$20)</f>
        <v>#VALUE!</v>
      </c>
      <c r="J103" s="508"/>
      <c r="K103" s="508"/>
      <c r="L103" s="507"/>
    </row>
    <row r="104" spans="2:14" ht="18" hidden="1" customHeight="1" x14ac:dyDescent="0.2">
      <c r="B104" s="173" t="s">
        <v>234</v>
      </c>
      <c r="C104" s="568">
        <v>68</v>
      </c>
      <c r="D104" s="568">
        <v>79</v>
      </c>
      <c r="E104" s="568">
        <v>86</v>
      </c>
      <c r="F104" s="568">
        <v>89</v>
      </c>
      <c r="G104" s="567">
        <f t="shared" si="0"/>
        <v>0</v>
      </c>
      <c r="H104" s="569">
        <f>($C$104*$H$21)+($D$104*$I$21)+($E$104*$J$21)+($F$104*$K$21)</f>
        <v>0</v>
      </c>
      <c r="I104" s="251">
        <f>($C$104*$H$21)+($D$104*$I$21)+($E$104*$J$21)+($F$104*$K$21)</f>
        <v>0</v>
      </c>
      <c r="J104" s="508"/>
      <c r="K104" s="508"/>
      <c r="L104" s="507"/>
    </row>
    <row r="105" spans="2:14" ht="18" hidden="1" customHeight="1" x14ac:dyDescent="0.2">
      <c r="B105" s="173" t="s">
        <v>237</v>
      </c>
      <c r="C105" s="568">
        <v>49</v>
      </c>
      <c r="D105" s="568">
        <v>69</v>
      </c>
      <c r="E105" s="568">
        <v>79</v>
      </c>
      <c r="F105" s="568">
        <v>84</v>
      </c>
      <c r="G105" s="567">
        <f t="shared" si="0"/>
        <v>0</v>
      </c>
      <c r="H105" s="569">
        <f>($C$105*$H$22)+($D$105*$I$22)+($E$105*$J$22)+($F$105*$K$22)</f>
        <v>0</v>
      </c>
      <c r="I105" s="251">
        <f>($C$105*$H$22)+($D$105*$I$22)+($E$105*$J$22)+($F$105*$K$22)</f>
        <v>0</v>
      </c>
      <c r="J105" s="508"/>
      <c r="K105" s="508"/>
      <c r="L105" s="507"/>
    </row>
    <row r="106" spans="2:14" ht="18" hidden="1" customHeight="1" x14ac:dyDescent="0.2">
      <c r="B106" s="173" t="s">
        <v>238</v>
      </c>
      <c r="C106" s="568">
        <v>39</v>
      </c>
      <c r="D106" s="568">
        <v>61</v>
      </c>
      <c r="E106" s="568">
        <v>74</v>
      </c>
      <c r="F106" s="568">
        <v>80</v>
      </c>
      <c r="G106" s="567">
        <f t="shared" si="0"/>
        <v>0</v>
      </c>
      <c r="H106" s="569">
        <f>($C$106*$H$23)+($D$106*$I$23)+($E$106*$J$23)+($F$106*$K$23)</f>
        <v>0</v>
      </c>
      <c r="I106" s="251">
        <f>($C$106*$H$23)+($D$106*$I$23)+($E$106*$J$23)+($F$106*$K$23)</f>
        <v>0</v>
      </c>
      <c r="J106" s="508"/>
      <c r="K106" s="508"/>
      <c r="L106" s="507"/>
    </row>
    <row r="107" spans="2:14" ht="15" hidden="1" customHeight="1" x14ac:dyDescent="0.2">
      <c r="B107" s="173" t="s">
        <v>245</v>
      </c>
      <c r="C107" s="568">
        <v>30</v>
      </c>
      <c r="D107" s="568">
        <v>55</v>
      </c>
      <c r="E107" s="568">
        <v>70</v>
      </c>
      <c r="F107" s="568">
        <v>77</v>
      </c>
      <c r="G107" s="567">
        <f t="shared" si="0"/>
        <v>0</v>
      </c>
      <c r="H107" s="569">
        <f>($C$107*$H$24)+($D$107*$I$24)+($E$107*$J$24)+($F$107*$K$24)</f>
        <v>0</v>
      </c>
      <c r="I107" s="251">
        <f>($C$107*$H$24)+($D$107*$I$24)+($E$107*$J$24)+($F$107*$K$24)</f>
        <v>0</v>
      </c>
      <c r="J107" s="508"/>
      <c r="K107" s="508"/>
      <c r="L107" s="507"/>
    </row>
    <row r="108" spans="2:14" ht="18.75" hidden="1" customHeight="1" thickBot="1" x14ac:dyDescent="0.25">
      <c r="B108" s="175" t="s">
        <v>243</v>
      </c>
      <c r="C108" s="176">
        <v>98</v>
      </c>
      <c r="D108" s="176">
        <v>98</v>
      </c>
      <c r="E108" s="177">
        <v>98</v>
      </c>
      <c r="F108" s="177">
        <v>98</v>
      </c>
      <c r="G108" s="228">
        <f>(C108*(D26+D25))+(D108*(E26+E25))+(E108*(F26+F25))+(F108*(G26+G25))</f>
        <v>0</v>
      </c>
      <c r="H108" s="229">
        <f>($C$108*(H25+H26))+($D$108*(I25+I26))+($E$108*(J25+J26))+($F$108*(K25+K26))</f>
        <v>0</v>
      </c>
      <c r="I108" s="252">
        <f>($C$108*H26)+($D$108*I26)+($E$108*J26)+($F$108*K26)</f>
        <v>0</v>
      </c>
      <c r="J108" s="508" t="s">
        <v>370</v>
      </c>
      <c r="K108" s="508"/>
      <c r="L108" s="507"/>
    </row>
    <row r="109" spans="2:14" ht="15.75" hidden="1" customHeight="1" thickBot="1" x14ac:dyDescent="0.25">
      <c r="B109" s="178"/>
      <c r="C109" s="146"/>
      <c r="D109" s="146"/>
      <c r="E109" s="869" t="s">
        <v>265</v>
      </c>
      <c r="F109" s="870"/>
      <c r="G109" s="414" t="e">
        <f>ROUND((SUM(G100:G108)/SUM(D17:G26)),2)</f>
        <v>#VALUE!</v>
      </c>
      <c r="H109" s="414" t="e">
        <f>ROUND((SUM(H100:H108)/SUM(H17:K26)),2)</f>
        <v>#VALUE!</v>
      </c>
      <c r="I109" s="415" t="e">
        <f>ROUND(SUM(I100:I108)/(SUM(H17:K26)-SUM(H25:K25)),2)</f>
        <v>#VALUE!</v>
      </c>
      <c r="J109" s="508"/>
      <c r="K109" s="508"/>
      <c r="L109" s="507"/>
    </row>
    <row r="110" spans="2:14" ht="15" hidden="1" customHeight="1" x14ac:dyDescent="0.2">
      <c r="B110" s="509"/>
      <c r="C110" s="506"/>
      <c r="D110" s="506"/>
      <c r="E110" s="159"/>
      <c r="F110" s="159"/>
      <c r="G110" s="159"/>
      <c r="H110" s="506"/>
      <c r="I110" s="506"/>
      <c r="J110" s="507"/>
      <c r="K110" s="167"/>
      <c r="L110" s="168"/>
    </row>
    <row r="111" spans="2:14" ht="15.75" hidden="1" customHeight="1" thickBot="1" x14ac:dyDescent="0.25">
      <c r="B111" s="507"/>
      <c r="C111" s="507"/>
      <c r="D111" s="506"/>
      <c r="E111" s="507"/>
      <c r="F111" s="507"/>
      <c r="G111" s="507"/>
      <c r="H111" s="507"/>
      <c r="I111" s="507"/>
      <c r="J111" s="507"/>
      <c r="K111" s="507"/>
    </row>
    <row r="112" spans="2:14" ht="18.75" hidden="1" customHeight="1" thickBot="1" x14ac:dyDescent="0.3">
      <c r="B112" s="836" t="s">
        <v>383</v>
      </c>
      <c r="C112" s="837"/>
      <c r="D112" s="506"/>
      <c r="E112" s="849" t="s">
        <v>55</v>
      </c>
      <c r="F112" s="850"/>
      <c r="G112" s="850"/>
      <c r="H112" s="850"/>
      <c r="I112" s="850"/>
      <c r="J112" s="850"/>
      <c r="K112" s="850"/>
      <c r="L112" s="850"/>
      <c r="M112" s="850"/>
      <c r="N112" s="851"/>
    </row>
    <row r="113" spans="2:14" ht="15" hidden="1" customHeight="1" x14ac:dyDescent="0.2">
      <c r="B113" s="838"/>
      <c r="C113" s="839"/>
      <c r="D113" s="506"/>
      <c r="E113" s="865" t="s">
        <v>32</v>
      </c>
      <c r="F113" s="866"/>
      <c r="G113" s="866"/>
      <c r="H113" s="866"/>
      <c r="I113" s="866"/>
      <c r="J113" s="866"/>
      <c r="K113" s="866"/>
      <c r="L113" s="866"/>
      <c r="M113" s="866"/>
      <c r="N113" s="867"/>
    </row>
    <row r="114" spans="2:14" ht="18" hidden="1" customHeight="1" x14ac:dyDescent="0.2">
      <c r="B114" s="64"/>
      <c r="C114" s="113"/>
      <c r="D114" s="506"/>
      <c r="E114" s="265"/>
      <c r="F114" s="159"/>
      <c r="G114" s="266"/>
      <c r="H114" s="266"/>
      <c r="I114" s="266"/>
      <c r="J114" s="266"/>
      <c r="K114" s="510"/>
      <c r="L114" s="181"/>
      <c r="M114" s="506"/>
      <c r="N114" s="513"/>
    </row>
    <row r="115" spans="2:14" ht="20.25" hidden="1" customHeight="1" x14ac:dyDescent="0.35">
      <c r="B115" s="863" t="s">
        <v>40</v>
      </c>
      <c r="C115" s="864"/>
      <c r="D115" s="506"/>
      <c r="E115" s="265"/>
      <c r="F115" s="266"/>
      <c r="G115" s="267" t="s">
        <v>149</v>
      </c>
      <c r="H115" s="267"/>
      <c r="I115" s="268"/>
      <c r="J115" s="506" t="s">
        <v>138</v>
      </c>
      <c r="K115" s="510"/>
      <c r="L115" s="181"/>
      <c r="M115" s="506"/>
      <c r="N115" s="513"/>
    </row>
    <row r="116" spans="2:14" ht="60" hidden="1" customHeight="1" x14ac:dyDescent="0.2">
      <c r="B116" s="863" t="s">
        <v>22</v>
      </c>
      <c r="C116" s="864"/>
      <c r="D116" s="182" t="s">
        <v>304</v>
      </c>
      <c r="E116" s="265"/>
      <c r="F116" s="266"/>
      <c r="G116" s="267" t="s">
        <v>33</v>
      </c>
      <c r="H116" s="267"/>
      <c r="I116" s="267"/>
      <c r="J116" s="510"/>
      <c r="K116" s="267" t="s">
        <v>33</v>
      </c>
      <c r="L116" s="181"/>
      <c r="M116" s="506"/>
      <c r="N116" s="513"/>
    </row>
    <row r="117" spans="2:14" ht="19.5" hidden="1" customHeight="1" x14ac:dyDescent="0.35">
      <c r="B117" s="183" t="s">
        <v>45</v>
      </c>
      <c r="C117" s="184"/>
      <c r="D117" s="506"/>
      <c r="E117" s="265"/>
      <c r="F117" s="266"/>
      <c r="G117" s="267" t="s">
        <v>128</v>
      </c>
      <c r="H117" s="267"/>
      <c r="I117" s="267"/>
      <c r="J117" s="266"/>
      <c r="K117" s="506" t="s">
        <v>139</v>
      </c>
      <c r="L117" s="181"/>
      <c r="M117" s="506"/>
      <c r="N117" s="513"/>
    </row>
    <row r="118" spans="2:14" ht="19.5" hidden="1" customHeight="1" x14ac:dyDescent="0.35">
      <c r="B118" s="183" t="s">
        <v>41</v>
      </c>
      <c r="C118" s="114"/>
      <c r="D118" s="506"/>
      <c r="E118" s="265"/>
      <c r="F118" s="181"/>
      <c r="G118" s="267" t="s">
        <v>158</v>
      </c>
      <c r="H118" s="268"/>
      <c r="I118" s="268"/>
      <c r="J118" s="268"/>
      <c r="K118" s="506" t="s">
        <v>140</v>
      </c>
      <c r="L118" s="181"/>
      <c r="M118" s="506"/>
      <c r="N118" s="513"/>
    </row>
    <row r="119" spans="2:14" ht="20.25" hidden="1" customHeight="1" x14ac:dyDescent="0.35">
      <c r="B119" s="185"/>
      <c r="C119" s="184"/>
      <c r="D119" s="506"/>
      <c r="E119" s="265"/>
      <c r="F119" s="266"/>
      <c r="G119" s="267" t="s">
        <v>130</v>
      </c>
      <c r="H119" s="267"/>
      <c r="I119" s="267"/>
      <c r="J119" s="266"/>
      <c r="K119" s="510"/>
      <c r="L119" s="269"/>
      <c r="M119" s="506"/>
      <c r="N119" s="513"/>
    </row>
    <row r="120" spans="2:14" ht="15" hidden="1" customHeight="1" x14ac:dyDescent="0.2">
      <c r="B120" s="186" t="s">
        <v>48</v>
      </c>
      <c r="C120" s="184"/>
      <c r="D120" s="506"/>
      <c r="E120" s="265"/>
      <c r="F120" s="266"/>
      <c r="G120" s="267" t="s">
        <v>34</v>
      </c>
      <c r="H120" s="267"/>
      <c r="I120" s="267"/>
      <c r="J120" s="266"/>
      <c r="K120" s="510"/>
      <c r="L120" s="269"/>
      <c r="M120" s="506"/>
      <c r="N120" s="513"/>
    </row>
    <row r="121" spans="2:14" ht="19.5" hidden="1" customHeight="1" x14ac:dyDescent="0.35">
      <c r="B121" s="51" t="s">
        <v>20</v>
      </c>
      <c r="C121" s="187" t="s">
        <v>42</v>
      </c>
      <c r="D121" s="506"/>
      <c r="E121" s="265"/>
      <c r="F121" s="159"/>
      <c r="G121" s="267" t="s">
        <v>150</v>
      </c>
      <c r="H121" s="506"/>
      <c r="I121" s="506"/>
      <c r="J121" s="270"/>
      <c r="K121" s="506"/>
      <c r="L121" s="271"/>
      <c r="M121" s="506"/>
      <c r="N121" s="513"/>
    </row>
    <row r="122" spans="2:14" ht="15.75" hidden="1" customHeight="1" x14ac:dyDescent="0.2">
      <c r="B122" s="51" t="s">
        <v>20</v>
      </c>
      <c r="C122" s="115" t="e">
        <f>(1000/$G$109)-10</f>
        <v>#VALUE!</v>
      </c>
      <c r="D122" s="506"/>
      <c r="E122" s="860" t="s">
        <v>35</v>
      </c>
      <c r="F122" s="861"/>
      <c r="G122" s="861"/>
      <c r="H122" s="861"/>
      <c r="I122" s="861"/>
      <c r="J122" s="861"/>
      <c r="K122" s="861"/>
      <c r="L122" s="861"/>
      <c r="M122" s="861"/>
      <c r="N122" s="862"/>
    </row>
    <row r="123" spans="2:14" ht="19.5" hidden="1" customHeight="1" x14ac:dyDescent="0.25">
      <c r="B123" s="188" t="s">
        <v>330</v>
      </c>
      <c r="C123" s="76" t="e">
        <f>(($D$11-(0.2*$C$122))^2)/($D$11+(0.8*$C$122))</f>
        <v>#VALUE!</v>
      </c>
      <c r="D123" s="506"/>
      <c r="E123" s="265"/>
      <c r="F123" s="272"/>
      <c r="G123" s="269" t="s">
        <v>61</v>
      </c>
      <c r="H123" s="273" t="e">
        <f>N125</f>
        <v>#VALUE!</v>
      </c>
      <c r="I123" s="269" t="s">
        <v>36</v>
      </c>
      <c r="J123" s="506"/>
      <c r="K123" s="511" t="s">
        <v>141</v>
      </c>
      <c r="L123" s="190" t="e">
        <f>IF(D73&gt;0.475,$J$147,IF(D73&gt;0.425,$J$146,IF(D73&gt;0.375,$J$145,IF(D73&gt;0.325,$J$144,IF(D73&gt;0.2,$J$143,$J$142)))))</f>
        <v>#VALUE!</v>
      </c>
      <c r="M123" s="191"/>
      <c r="N123" s="232"/>
    </row>
    <row r="124" spans="2:14" ht="19.5" hidden="1" customHeight="1" x14ac:dyDescent="0.35">
      <c r="B124" s="188" t="s">
        <v>331</v>
      </c>
      <c r="C124" s="76" t="e">
        <f>(($D$12-(0.2*$C$122))^2)/($D$12+(0.8*$C$122))</f>
        <v>#VALUE!</v>
      </c>
      <c r="D124" s="506"/>
      <c r="E124" s="274"/>
      <c r="F124" s="272"/>
      <c r="G124" s="269" t="s">
        <v>62</v>
      </c>
      <c r="H124" s="275" t="e">
        <f>(D9/640)</f>
        <v>#VALUE!</v>
      </c>
      <c r="I124" s="269" t="s">
        <v>63</v>
      </c>
      <c r="J124" s="506"/>
      <c r="K124" s="511" t="s">
        <v>142</v>
      </c>
      <c r="L124" s="192" t="e">
        <f>IF(L123=J142,K142,IF(L123=J143,K143,IF(L123=J144,K144,IF(L123=J145,K145,IF(L123=J146,K146,IF(L123=J147,K147,""))))))</f>
        <v>#VALUE!</v>
      </c>
      <c r="M124" s="165" t="s">
        <v>145</v>
      </c>
      <c r="N124" s="513" t="e">
        <f>L124+(L125*LOG(N126))+(L126*((LOG(N126))^2))</f>
        <v>#VALUE!</v>
      </c>
    </row>
    <row r="125" spans="2:14" ht="19.5" hidden="1" customHeight="1" x14ac:dyDescent="0.35">
      <c r="B125" s="188" t="s">
        <v>332</v>
      </c>
      <c r="C125" s="76" t="e">
        <f>(($D$13-(0.2*$C$122))^2)/($D$13+(0.8*$C$122))</f>
        <v>#VALUE!</v>
      </c>
      <c r="D125" s="506"/>
      <c r="E125" s="276" t="s">
        <v>151</v>
      </c>
      <c r="F125" s="277" t="e">
        <f>($D$15/$D$9)*100</f>
        <v>#VALUE!</v>
      </c>
      <c r="G125" s="278" t="s">
        <v>169</v>
      </c>
      <c r="H125" s="273" t="e">
        <f>IF($F$125&gt;4.44,$N$157,IF($F$125&gt;2.44,$N$156,IF($F$125&gt;0.45,$N$155,IF($F$125&gt;0.144,$N$154,1))))</f>
        <v>#VALUE!</v>
      </c>
      <c r="I125" s="269"/>
      <c r="J125" s="506"/>
      <c r="K125" s="511" t="s">
        <v>143</v>
      </c>
      <c r="L125" s="192" t="e">
        <f>IF($L$123=J142,L142,IF($L$123=J143,L143,IF($L$123=J144,L144,IF($L$123=J145,L145,IF($L$123=J146,L146,IF($L$123=J147,L147,""))))))</f>
        <v>#VALUE!</v>
      </c>
      <c r="M125" s="165" t="s">
        <v>146</v>
      </c>
      <c r="N125" s="513" t="e">
        <f>10^N124</f>
        <v>#VALUE!</v>
      </c>
    </row>
    <row r="126" spans="2:14" ht="19.5" hidden="1" customHeight="1" x14ac:dyDescent="0.35">
      <c r="B126" s="186" t="s">
        <v>49</v>
      </c>
      <c r="C126" s="184"/>
      <c r="D126" s="506"/>
      <c r="E126" s="233"/>
      <c r="F126" s="234"/>
      <c r="G126" s="234"/>
      <c r="H126" s="234"/>
      <c r="I126" s="234"/>
      <c r="J126" s="506"/>
      <c r="K126" s="511" t="s">
        <v>144</v>
      </c>
      <c r="L126" s="192" t="e">
        <f>IF($L$123=J142,M142,IF($L$123=J143,M143,IF($L$123=J144,M144,IF($L$123=J145,M145,IF($L$123=J146,M146,IF($L$123=J147,M147,""))))))</f>
        <v>#VALUE!</v>
      </c>
      <c r="M126" s="165" t="s">
        <v>72</v>
      </c>
      <c r="N126" s="235" t="e">
        <f>D70</f>
        <v>#VALUE!</v>
      </c>
    </row>
    <row r="127" spans="2:14" ht="18.75" hidden="1" customHeight="1" x14ac:dyDescent="0.2">
      <c r="B127" s="186"/>
      <c r="C127" s="184"/>
      <c r="D127" s="506"/>
      <c r="E127" s="276"/>
      <c r="F127" s="277"/>
      <c r="G127" s="279" t="s">
        <v>37</v>
      </c>
      <c r="H127" s="280" t="e">
        <f>$H$124*C123*$H$125*$H$123</f>
        <v>#VALUE!</v>
      </c>
      <c r="I127" s="279" t="s">
        <v>38</v>
      </c>
      <c r="J127" s="506"/>
      <c r="K127" s="511"/>
      <c r="L127" s="192"/>
      <c r="M127" s="165"/>
      <c r="N127" s="235"/>
    </row>
    <row r="128" spans="2:14" ht="18.75" hidden="1" customHeight="1" x14ac:dyDescent="0.2">
      <c r="B128" s="186"/>
      <c r="C128" s="184"/>
      <c r="D128" s="506"/>
      <c r="E128" s="276"/>
      <c r="F128" s="277"/>
      <c r="G128" s="279" t="s">
        <v>327</v>
      </c>
      <c r="H128" s="280" t="e">
        <f>$H$124*C124*$H$125*$H$123</f>
        <v>#VALUE!</v>
      </c>
      <c r="I128" s="279" t="s">
        <v>38</v>
      </c>
      <c r="J128" s="506"/>
      <c r="K128" s="511"/>
      <c r="L128" s="192"/>
      <c r="M128" s="165"/>
      <c r="N128" s="235"/>
    </row>
    <row r="129" spans="2:14" ht="18.75" hidden="1" customHeight="1" x14ac:dyDescent="0.2">
      <c r="B129" s="51" t="s">
        <v>20</v>
      </c>
      <c r="C129" s="187" t="s">
        <v>42</v>
      </c>
      <c r="D129" s="506"/>
      <c r="E129" s="265"/>
      <c r="F129" s="281"/>
      <c r="G129" s="279" t="s">
        <v>328</v>
      </c>
      <c r="H129" s="280" t="e">
        <f>$H$124*C125*$H$125*$H$123</f>
        <v>#VALUE!</v>
      </c>
      <c r="I129" s="279" t="s">
        <v>38</v>
      </c>
      <c r="J129" s="506"/>
      <c r="K129" s="506"/>
      <c r="L129" s="159"/>
      <c r="M129" s="506"/>
      <c r="N129" s="202"/>
    </row>
    <row r="130" spans="2:14" ht="15.75" hidden="1" customHeight="1" x14ac:dyDescent="0.25">
      <c r="B130" s="51" t="s">
        <v>20</v>
      </c>
      <c r="C130" s="115" t="e">
        <f>(1000/D77)-10</f>
        <v>#VALUE!</v>
      </c>
      <c r="D130" s="506"/>
      <c r="E130" s="857" t="s">
        <v>47</v>
      </c>
      <c r="F130" s="858"/>
      <c r="G130" s="858"/>
      <c r="H130" s="858"/>
      <c r="I130" s="858"/>
      <c r="J130" s="858"/>
      <c r="K130" s="858"/>
      <c r="L130" s="858"/>
      <c r="M130" s="858"/>
      <c r="N130" s="859"/>
    </row>
    <row r="131" spans="2:14" ht="19.5" hidden="1" customHeight="1" x14ac:dyDescent="0.25">
      <c r="B131" s="188" t="s">
        <v>330</v>
      </c>
      <c r="C131" s="76" t="e">
        <f>($D$11-(0.2*$C$130))^2/($D$11+(0.8*$C$130))</f>
        <v>#VALUE!</v>
      </c>
      <c r="D131" s="506"/>
      <c r="E131" s="282"/>
      <c r="F131" s="272"/>
      <c r="G131" s="269" t="s">
        <v>61</v>
      </c>
      <c r="H131" s="273" t="e">
        <f>N133</f>
        <v>#VALUE!</v>
      </c>
      <c r="I131" s="269" t="s">
        <v>36</v>
      </c>
      <c r="J131" s="506"/>
      <c r="K131" s="511" t="s">
        <v>141</v>
      </c>
      <c r="L131" s="190" t="e">
        <f>IF(H73&gt;0.475,$J$147,IF(H73&gt;0.425,$J$146,IF(H73&gt;0.375,$J$145,IF(H73&gt;0.325,$J$144,IF(H73&gt;0.2,$J$143,$J$142)))))</f>
        <v>#VALUE!</v>
      </c>
      <c r="M131" s="506"/>
      <c r="N131" s="202"/>
    </row>
    <row r="132" spans="2:14" ht="19.5" hidden="1" customHeight="1" x14ac:dyDescent="0.35">
      <c r="B132" s="188" t="s">
        <v>331</v>
      </c>
      <c r="C132" s="76" t="e">
        <f>($D$12-(0.2*$C$130))^2/($D$12+(0.8*$C$130))</f>
        <v>#VALUE!</v>
      </c>
      <c r="D132" s="506"/>
      <c r="E132" s="265"/>
      <c r="F132" s="283"/>
      <c r="G132" s="269" t="s">
        <v>62</v>
      </c>
      <c r="H132" s="275" t="e">
        <f>(H9/640)</f>
        <v>#VALUE!</v>
      </c>
      <c r="I132" s="269" t="s">
        <v>63</v>
      </c>
      <c r="J132" s="506"/>
      <c r="K132" s="511" t="s">
        <v>142</v>
      </c>
      <c r="L132" s="192" t="e">
        <f>IF($L$131=J142,K142,IF($L$131=J143,K143,IF($L$131=J144,K144,IF($L$131=J145,K145,IF($L$131=J146,K146,IF($L$131=J147,K147,""))))))</f>
        <v>#VALUE!</v>
      </c>
      <c r="M132" s="165" t="s">
        <v>145</v>
      </c>
      <c r="N132" s="202" t="e">
        <f>L132+(L133*LOG(N134))+(L134*((LOG(N134))^2))</f>
        <v>#VALUE!</v>
      </c>
    </row>
    <row r="133" spans="2:14" ht="20.25" hidden="1" customHeight="1" thickBot="1" x14ac:dyDescent="0.4">
      <c r="B133" s="193" t="s">
        <v>332</v>
      </c>
      <c r="C133" s="138" t="e">
        <f>($D$13-(0.2*$C$130))^2/($D$13+(0.8*$C$130))</f>
        <v>#VALUE!</v>
      </c>
      <c r="D133" s="506"/>
      <c r="E133" s="276" t="s">
        <v>151</v>
      </c>
      <c r="F133" s="277" t="e">
        <f>($H$15/$H$9)*100</f>
        <v>#VALUE!</v>
      </c>
      <c r="G133" s="278" t="s">
        <v>169</v>
      </c>
      <c r="H133" s="273" t="e">
        <f>IF(F133&gt;4.44,$N$157,IF(F133&gt;2.44,$N$156,IF(F133&gt;0.45,$N$155,IF(F133&gt;0.144,$N$154,1))))</f>
        <v>#VALUE!</v>
      </c>
      <c r="I133" s="279" t="s">
        <v>38</v>
      </c>
      <c r="J133" s="506"/>
      <c r="K133" s="511" t="s">
        <v>143</v>
      </c>
      <c r="L133" s="192" t="e">
        <f>IF($L$131=J142,L142,IF($L$131=J143,L143,IF($L$131=J144,L144,IF($L$131=J145,L145,IF($L$131=J146,L146,IF($L$131=J147,L147,""))))))</f>
        <v>#VALUE!</v>
      </c>
      <c r="M133" s="165" t="s">
        <v>146</v>
      </c>
      <c r="N133" s="202" t="e">
        <f>10^N132</f>
        <v>#VALUE!</v>
      </c>
    </row>
    <row r="134" spans="2:14" ht="19.5" hidden="1" customHeight="1" x14ac:dyDescent="0.35">
      <c r="B134" s="74"/>
      <c r="C134" s="93"/>
      <c r="D134" s="194"/>
      <c r="E134" s="276"/>
      <c r="F134" s="277"/>
      <c r="G134" s="278"/>
      <c r="H134" s="273"/>
      <c r="I134" s="279"/>
      <c r="J134" s="506"/>
      <c r="K134" s="511" t="s">
        <v>144</v>
      </c>
      <c r="L134" s="192" t="e">
        <f>IF($L$131=J142,M142,IF($L$131=J143,M143,IF($L$131=J144,M144,IF($L$131=J145,M145,IF($L$131=J146,M146,IF($L$131=J147,M147,""))))))</f>
        <v>#VALUE!</v>
      </c>
      <c r="M134" s="165" t="s">
        <v>72</v>
      </c>
      <c r="N134" s="235" t="e">
        <f>H70</f>
        <v>#VALUE!</v>
      </c>
    </row>
    <row r="135" spans="2:14" ht="18.75" hidden="1" customHeight="1" x14ac:dyDescent="0.25">
      <c r="B135" s="74"/>
      <c r="C135" s="93"/>
      <c r="D135" s="194"/>
      <c r="E135" s="276"/>
      <c r="F135" s="277"/>
      <c r="G135" s="279" t="s">
        <v>37</v>
      </c>
      <c r="H135" s="280" t="e">
        <f>$H$132*$C$131*$H$133*$H$131</f>
        <v>#VALUE!</v>
      </c>
      <c r="I135" s="279" t="s">
        <v>38</v>
      </c>
      <c r="J135" s="506"/>
      <c r="K135" s="511"/>
      <c r="L135" s="192"/>
      <c r="M135" s="165"/>
      <c r="N135" s="235"/>
    </row>
    <row r="136" spans="2:14" ht="18.75" hidden="1" customHeight="1" x14ac:dyDescent="0.25">
      <c r="B136" s="74"/>
      <c r="C136" s="93"/>
      <c r="D136" s="194"/>
      <c r="E136" s="276"/>
      <c r="F136" s="277"/>
      <c r="G136" s="279" t="s">
        <v>327</v>
      </c>
      <c r="H136" s="280" t="e">
        <f>$H$132*$C$132*$H$133*$H$131</f>
        <v>#VALUE!</v>
      </c>
      <c r="I136" s="279" t="s">
        <v>38</v>
      </c>
      <c r="J136" s="506"/>
      <c r="K136" s="511"/>
      <c r="L136" s="192"/>
      <c r="M136" s="165"/>
      <c r="N136" s="235"/>
    </row>
    <row r="137" spans="2:14" ht="19.5" hidden="1" customHeight="1" thickBot="1" x14ac:dyDescent="0.25">
      <c r="B137" s="195"/>
      <c r="C137" s="75"/>
      <c r="D137" s="506"/>
      <c r="E137" s="211"/>
      <c r="F137" s="501"/>
      <c r="G137" s="285" t="s">
        <v>328</v>
      </c>
      <c r="H137" s="284" t="e">
        <f>$H$132*$C$133*$H$133*$H$131</f>
        <v>#VALUE!</v>
      </c>
      <c r="I137" s="285" t="s">
        <v>38</v>
      </c>
      <c r="J137" s="501"/>
      <c r="K137" s="501"/>
      <c r="L137" s="236"/>
      <c r="M137" s="501"/>
      <c r="N137" s="222"/>
    </row>
    <row r="138" spans="2:14" ht="15.75" hidden="1" customHeight="1" thickBot="1" x14ac:dyDescent="0.25">
      <c r="B138" s="507"/>
      <c r="C138" s="507"/>
      <c r="D138" s="507"/>
      <c r="E138" s="160"/>
      <c r="F138" s="160"/>
      <c r="G138" s="160"/>
      <c r="H138" s="507"/>
      <c r="I138" s="198"/>
      <c r="J138" s="506"/>
      <c r="K138" s="506"/>
      <c r="L138" s="159"/>
      <c r="M138" s="506"/>
      <c r="N138" s="465"/>
    </row>
    <row r="139" spans="2:14" ht="15.75" hidden="1" customHeight="1" thickBot="1" x14ac:dyDescent="0.25">
      <c r="B139" s="507"/>
      <c r="C139" s="507"/>
      <c r="D139" s="507"/>
      <c r="E139" s="160"/>
      <c r="F139" s="160"/>
      <c r="G139" s="160"/>
      <c r="H139" s="507"/>
      <c r="I139" s="198"/>
      <c r="J139" s="871" t="s">
        <v>152</v>
      </c>
      <c r="K139" s="872"/>
      <c r="L139" s="872"/>
      <c r="M139" s="873"/>
      <c r="N139" s="466"/>
    </row>
    <row r="140" spans="2:14" ht="15.75" hidden="1" customHeight="1" thickBot="1" x14ac:dyDescent="0.25">
      <c r="B140" s="840" t="s">
        <v>84</v>
      </c>
      <c r="C140" s="841"/>
      <c r="D140" s="841"/>
      <c r="E140" s="841"/>
      <c r="F140" s="841"/>
      <c r="G140" s="842"/>
      <c r="H140" s="507"/>
      <c r="I140" s="198"/>
      <c r="J140" s="874"/>
      <c r="K140" s="875"/>
      <c r="L140" s="875"/>
      <c r="M140" s="876"/>
      <c r="N140" s="467"/>
    </row>
    <row r="141" spans="2:14" ht="15.75" hidden="1" customHeight="1" thickBot="1" x14ac:dyDescent="0.25">
      <c r="B141" s="846"/>
      <c r="C141" s="847"/>
      <c r="D141" s="847"/>
      <c r="E141" s="847"/>
      <c r="F141" s="847"/>
      <c r="G141" s="848"/>
      <c r="H141" s="507"/>
      <c r="I141" s="198"/>
      <c r="J141" s="91" t="s">
        <v>135</v>
      </c>
      <c r="K141" s="92" t="s">
        <v>136</v>
      </c>
      <c r="L141" s="92" t="s">
        <v>137</v>
      </c>
      <c r="M141" s="468" t="s">
        <v>525</v>
      </c>
      <c r="N141" s="469"/>
    </row>
    <row r="142" spans="2:14" ht="15.75" hidden="1" customHeight="1" x14ac:dyDescent="0.2">
      <c r="B142" s="199" t="s">
        <v>81</v>
      </c>
      <c r="C142" s="200"/>
      <c r="D142" s="200"/>
      <c r="E142" s="200"/>
      <c r="F142" s="200"/>
      <c r="G142" s="201" t="s">
        <v>82</v>
      </c>
      <c r="H142" s="507"/>
      <c r="I142" s="198"/>
      <c r="J142" s="88">
        <v>0.1</v>
      </c>
      <c r="K142" s="87">
        <v>2.5532300000000001</v>
      </c>
      <c r="L142" s="87">
        <v>-0.61512</v>
      </c>
      <c r="M142" s="470">
        <v>-0.16403000000000001</v>
      </c>
      <c r="N142" s="469"/>
    </row>
    <row r="143" spans="2:14" ht="15" hidden="1" customHeight="1" x14ac:dyDescent="0.2">
      <c r="B143" s="178" t="s">
        <v>91</v>
      </c>
      <c r="C143" s="146"/>
      <c r="D143" s="146"/>
      <c r="E143" s="146"/>
      <c r="F143" s="146"/>
      <c r="G143" s="202">
        <v>1.0999999999999999E-2</v>
      </c>
      <c r="H143" s="507"/>
      <c r="I143" s="198"/>
      <c r="J143" s="88">
        <v>0.3</v>
      </c>
      <c r="K143" s="87">
        <v>2.4653200000000002</v>
      </c>
      <c r="L143" s="87">
        <v>-0.62256999999999996</v>
      </c>
      <c r="M143" s="470">
        <v>-0.11656999999999999</v>
      </c>
      <c r="N143" s="469"/>
    </row>
    <row r="144" spans="2:14" ht="15" hidden="1" customHeight="1" x14ac:dyDescent="0.2">
      <c r="B144" s="178" t="s">
        <v>83</v>
      </c>
      <c r="C144" s="146"/>
      <c r="D144" s="146"/>
      <c r="E144" s="146"/>
      <c r="F144" s="146"/>
      <c r="G144" s="202">
        <v>0.24</v>
      </c>
      <c r="H144" s="507"/>
      <c r="I144" s="198"/>
      <c r="J144" s="88">
        <v>0.35</v>
      </c>
      <c r="K144" s="87">
        <v>2.4189600000000002</v>
      </c>
      <c r="L144" s="87">
        <v>-0.61594000000000004</v>
      </c>
      <c r="M144" s="470">
        <v>-8.8200000000000001E-2</v>
      </c>
      <c r="N144" s="469"/>
    </row>
    <row r="145" spans="2:14" ht="15.75" hidden="1" customHeight="1" thickBot="1" x14ac:dyDescent="0.25">
      <c r="B145" s="203" t="s">
        <v>13</v>
      </c>
      <c r="C145" s="204"/>
      <c r="D145" s="204"/>
      <c r="E145" s="204"/>
      <c r="F145" s="204"/>
      <c r="G145" s="205">
        <v>0.4</v>
      </c>
      <c r="H145" s="507"/>
      <c r="I145" s="198"/>
      <c r="J145" s="88">
        <v>0.4</v>
      </c>
      <c r="K145" s="87">
        <v>2.36409</v>
      </c>
      <c r="L145" s="87">
        <v>-0.59857000000000005</v>
      </c>
      <c r="M145" s="470">
        <v>-5.6210000000000003E-2</v>
      </c>
      <c r="N145" s="471"/>
    </row>
    <row r="146" spans="2:14" ht="15.75" hidden="1" customHeight="1" thickBot="1" x14ac:dyDescent="0.25">
      <c r="B146" s="507"/>
      <c r="C146" s="507"/>
      <c r="D146" s="507"/>
      <c r="E146" s="160"/>
      <c r="F146" s="160"/>
      <c r="G146" s="160"/>
      <c r="H146" s="507"/>
      <c r="I146" s="198"/>
      <c r="J146" s="88">
        <v>0.45</v>
      </c>
      <c r="K146" s="87">
        <v>2.2923800000000001</v>
      </c>
      <c r="L146" s="87">
        <v>-0.57004999999999995</v>
      </c>
      <c r="M146" s="470">
        <v>-2.281E-2</v>
      </c>
      <c r="N146" s="472"/>
    </row>
    <row r="147" spans="2:14" ht="15.75" hidden="1" customHeight="1" thickBot="1" x14ac:dyDescent="0.25">
      <c r="B147" s="840" t="s">
        <v>216</v>
      </c>
      <c r="C147" s="841"/>
      <c r="D147" s="841"/>
      <c r="E147" s="841"/>
      <c r="F147" s="841"/>
      <c r="G147" s="842"/>
      <c r="H147" s="507"/>
      <c r="I147" s="198"/>
      <c r="J147" s="89">
        <v>0.5</v>
      </c>
      <c r="K147" s="90">
        <v>2.20282</v>
      </c>
      <c r="L147" s="90">
        <v>-0.51598999999999995</v>
      </c>
      <c r="M147" s="473">
        <v>-1.259E-2</v>
      </c>
      <c r="N147" s="474"/>
    </row>
    <row r="148" spans="2:14" ht="15.75" hidden="1" customHeight="1" thickBot="1" x14ac:dyDescent="0.25">
      <c r="B148" s="843"/>
      <c r="C148" s="844"/>
      <c r="D148" s="844"/>
      <c r="E148" s="844"/>
      <c r="F148" s="844"/>
      <c r="G148" s="845"/>
      <c r="H148" s="507"/>
      <c r="I148" s="198"/>
      <c r="J148" s="105"/>
      <c r="K148" s="112"/>
      <c r="L148" s="107"/>
      <c r="M148" s="106"/>
      <c r="N148" s="474"/>
    </row>
    <row r="149" spans="2:14" ht="15.75" hidden="1" customHeight="1" thickBot="1" x14ac:dyDescent="0.25">
      <c r="B149" s="846"/>
      <c r="C149" s="847"/>
      <c r="D149" s="847"/>
      <c r="E149" s="847"/>
      <c r="F149" s="847"/>
      <c r="G149" s="848"/>
      <c r="H149" s="507"/>
      <c r="I149" s="877" t="s">
        <v>148</v>
      </c>
      <c r="J149" s="841"/>
      <c r="K149" s="841"/>
      <c r="L149" s="841"/>
      <c r="M149" s="841"/>
      <c r="N149" s="878"/>
    </row>
    <row r="150" spans="2:14" ht="15.75" hidden="1" customHeight="1" x14ac:dyDescent="0.25">
      <c r="B150" s="207" t="s">
        <v>117</v>
      </c>
      <c r="C150" s="512"/>
      <c r="D150" s="512"/>
      <c r="E150" s="512"/>
      <c r="F150" s="512"/>
      <c r="G150" s="208" t="s">
        <v>82</v>
      </c>
      <c r="H150" s="507"/>
      <c r="I150" s="879"/>
      <c r="J150" s="844"/>
      <c r="K150" s="844"/>
      <c r="L150" s="844"/>
      <c r="M150" s="844"/>
      <c r="N150" s="880"/>
    </row>
    <row r="151" spans="2:14" ht="15.75" hidden="1" customHeight="1" thickBot="1" x14ac:dyDescent="0.25">
      <c r="B151" s="509" t="s">
        <v>118</v>
      </c>
      <c r="C151" s="506"/>
      <c r="D151" s="506"/>
      <c r="E151" s="506"/>
      <c r="F151" s="506"/>
      <c r="G151" s="202">
        <v>1.6E-2</v>
      </c>
      <c r="H151" s="507"/>
      <c r="I151" s="881"/>
      <c r="J151" s="847"/>
      <c r="K151" s="847"/>
      <c r="L151" s="847"/>
      <c r="M151" s="847"/>
      <c r="N151" s="882"/>
    </row>
    <row r="152" spans="2:14" ht="18.75" hidden="1" customHeight="1" x14ac:dyDescent="0.25">
      <c r="B152" s="509" t="s">
        <v>119</v>
      </c>
      <c r="C152" s="506"/>
      <c r="D152" s="506"/>
      <c r="E152" s="506"/>
      <c r="F152" s="506"/>
      <c r="G152" s="202">
        <v>1.2E-2</v>
      </c>
      <c r="H152" s="507"/>
      <c r="I152" s="209" t="s">
        <v>147</v>
      </c>
      <c r="J152" s="512"/>
      <c r="K152" s="512"/>
      <c r="L152" s="197"/>
      <c r="M152" s="512"/>
      <c r="N152" s="475" t="s">
        <v>526</v>
      </c>
    </row>
    <row r="153" spans="2:14" ht="15" hidden="1" customHeight="1" x14ac:dyDescent="0.2">
      <c r="B153" s="509" t="s">
        <v>120</v>
      </c>
      <c r="C153" s="506"/>
      <c r="D153" s="506"/>
      <c r="E153" s="506"/>
      <c r="F153" s="506"/>
      <c r="G153" s="202">
        <v>1.4E-2</v>
      </c>
      <c r="H153" s="507"/>
      <c r="I153" s="210">
        <v>0</v>
      </c>
      <c r="J153" s="506"/>
      <c r="K153" s="506"/>
      <c r="L153" s="160" t="s">
        <v>153</v>
      </c>
      <c r="M153" s="506"/>
      <c r="N153" s="476">
        <v>1</v>
      </c>
    </row>
    <row r="154" spans="2:14" ht="15" hidden="1" customHeight="1" x14ac:dyDescent="0.2">
      <c r="B154" s="509" t="s">
        <v>83</v>
      </c>
      <c r="C154" s="506"/>
      <c r="D154" s="506"/>
      <c r="E154" s="506"/>
      <c r="F154" s="506"/>
      <c r="G154" s="202">
        <v>3.5000000000000003E-2</v>
      </c>
      <c r="H154" s="507"/>
      <c r="I154" s="210">
        <v>0.2</v>
      </c>
      <c r="J154" s="506"/>
      <c r="K154" s="506"/>
      <c r="L154" s="159" t="s">
        <v>157</v>
      </c>
      <c r="M154" s="506"/>
      <c r="N154" s="477">
        <v>0.97</v>
      </c>
    </row>
    <row r="155" spans="2:14" ht="15" hidden="1" customHeight="1" x14ac:dyDescent="0.2">
      <c r="B155" s="509" t="s">
        <v>122</v>
      </c>
      <c r="C155" s="506"/>
      <c r="D155" s="506"/>
      <c r="E155" s="506"/>
      <c r="F155" s="506"/>
      <c r="G155" s="202">
        <v>3.3000000000000002E-2</v>
      </c>
      <c r="H155" s="507"/>
      <c r="I155" s="210">
        <v>1</v>
      </c>
      <c r="J155" s="506"/>
      <c r="K155" s="506"/>
      <c r="L155" s="159" t="s">
        <v>156</v>
      </c>
      <c r="M155" s="506"/>
      <c r="N155" s="477">
        <v>0.87</v>
      </c>
    </row>
    <row r="156" spans="2:14" ht="15.75" hidden="1" customHeight="1" thickBot="1" x14ac:dyDescent="0.25">
      <c r="B156" s="211" t="s">
        <v>121</v>
      </c>
      <c r="C156" s="501"/>
      <c r="D156" s="501"/>
      <c r="E156" s="501"/>
      <c r="F156" s="501"/>
      <c r="G156" s="213">
        <v>0.04</v>
      </c>
      <c r="H156" s="507"/>
      <c r="I156" s="210">
        <v>3</v>
      </c>
      <c r="J156" s="506"/>
      <c r="K156" s="506"/>
      <c r="L156" s="159" t="s">
        <v>155</v>
      </c>
      <c r="M156" s="506"/>
      <c r="N156" s="477">
        <v>0.75</v>
      </c>
    </row>
    <row r="157" spans="2:14" ht="15" hidden="1" customHeight="1" x14ac:dyDescent="0.2">
      <c r="B157" s="507"/>
      <c r="C157" s="507"/>
      <c r="D157" s="507"/>
      <c r="E157" s="160"/>
      <c r="F157" s="160"/>
      <c r="G157" s="160"/>
      <c r="H157" s="507"/>
      <c r="I157" s="210">
        <v>5</v>
      </c>
      <c r="J157" s="506"/>
      <c r="K157" s="506"/>
      <c r="L157" s="214" t="s">
        <v>154</v>
      </c>
      <c r="M157" s="506"/>
      <c r="N157" s="477">
        <v>0.72</v>
      </c>
    </row>
    <row r="158" spans="2:14" ht="15.75" hidden="1" customHeight="1" x14ac:dyDescent="0.25">
      <c r="B158" s="215" t="s">
        <v>46</v>
      </c>
      <c r="C158" s="216"/>
      <c r="D158" s="216"/>
      <c r="E158" s="217"/>
      <c r="F158" s="217"/>
      <c r="G158" s="217"/>
      <c r="H158" s="216"/>
      <c r="I158" s="218"/>
      <c r="J158" s="117"/>
      <c r="K158" s="116"/>
      <c r="L158" s="107"/>
      <c r="M158" s="478"/>
      <c r="N158" s="474"/>
    </row>
    <row r="159" spans="2:14" ht="15.75" hidden="1" customHeight="1" thickBot="1" x14ac:dyDescent="0.25">
      <c r="B159" s="219" t="s">
        <v>102</v>
      </c>
      <c r="C159" s="216"/>
      <c r="D159" s="216"/>
      <c r="E159" s="217"/>
      <c r="F159" s="217"/>
      <c r="G159" s="217"/>
      <c r="H159" s="216"/>
      <c r="I159" s="220"/>
      <c r="J159" s="118"/>
      <c r="K159" s="119"/>
      <c r="L159" s="108"/>
      <c r="M159" s="479"/>
      <c r="N159" s="480"/>
    </row>
    <row r="160" spans="2:14" ht="15.75" hidden="1" customHeight="1" thickTop="1" x14ac:dyDescent="0.2">
      <c r="B160" s="219" t="s">
        <v>103</v>
      </c>
      <c r="C160" s="216"/>
      <c r="D160" s="216"/>
      <c r="E160" s="217"/>
      <c r="F160" s="217"/>
      <c r="G160" s="217"/>
      <c r="H160" s="216"/>
      <c r="I160" s="216"/>
      <c r="J160" s="117"/>
      <c r="K160" s="120"/>
      <c r="L160" s="109"/>
    </row>
    <row r="161" spans="2:14" ht="15" hidden="1" customHeight="1" x14ac:dyDescent="0.2">
      <c r="B161" s="216"/>
      <c r="C161" s="216"/>
      <c r="D161" s="216"/>
      <c r="E161" s="217"/>
      <c r="F161" s="217"/>
      <c r="G161" s="217"/>
      <c r="H161" s="216"/>
      <c r="I161" s="117"/>
      <c r="J161" s="107"/>
      <c r="K161" s="106"/>
      <c r="L161" s="110"/>
    </row>
    <row r="162" spans="2:14" ht="15.75" hidden="1" customHeight="1" thickBot="1" x14ac:dyDescent="0.25">
      <c r="B162" s="216"/>
      <c r="C162" s="217"/>
      <c r="D162" s="217"/>
      <c r="E162" s="217"/>
      <c r="F162" s="216"/>
      <c r="G162" s="216"/>
      <c r="H162" s="117"/>
      <c r="I162" s="111"/>
      <c r="J162" s="105"/>
      <c r="K162" s="206"/>
      <c r="L162" s="507"/>
    </row>
    <row r="163" spans="2:14" ht="16.5" hidden="1" customHeight="1" thickBot="1" x14ac:dyDescent="0.3">
      <c r="B163" s="852" t="s">
        <v>206</v>
      </c>
      <c r="C163" s="853"/>
      <c r="D163" s="853"/>
      <c r="E163" s="853"/>
      <c r="F163" s="854"/>
      <c r="G163" s="514"/>
      <c r="H163" s="514"/>
      <c r="I163" s="507"/>
      <c r="J163" s="542"/>
      <c r="K163" s="543" t="s">
        <v>532</v>
      </c>
      <c r="L163" s="544"/>
    </row>
    <row r="164" spans="2:14" ht="15" hidden="1" customHeight="1" x14ac:dyDescent="0.2">
      <c r="B164" s="517"/>
      <c r="C164" s="510"/>
      <c r="D164" s="510"/>
      <c r="E164" s="510"/>
      <c r="F164" s="518"/>
      <c r="G164" s="514"/>
      <c r="H164" s="514"/>
      <c r="I164" s="507"/>
      <c r="J164" s="530"/>
      <c r="K164" s="512"/>
      <c r="L164" s="522"/>
    </row>
    <row r="165" spans="2:14" ht="19.5" hidden="1" customHeight="1" x14ac:dyDescent="0.35">
      <c r="B165" s="509" t="s">
        <v>533</v>
      </c>
      <c r="C165" s="510"/>
      <c r="D165" s="510"/>
      <c r="E165" s="510"/>
      <c r="F165" s="518"/>
      <c r="G165" s="508"/>
      <c r="H165" s="514"/>
      <c r="I165" s="507"/>
      <c r="J165" s="509" t="s">
        <v>534</v>
      </c>
      <c r="K165" s="506"/>
      <c r="L165" s="513"/>
    </row>
    <row r="166" spans="2:14" ht="15" hidden="1" customHeight="1" x14ac:dyDescent="0.2">
      <c r="B166" s="509"/>
      <c r="C166" s="510"/>
      <c r="D166" s="510"/>
      <c r="E166" s="510"/>
      <c r="F166" s="518"/>
      <c r="G166" s="508"/>
      <c r="H166" s="514"/>
      <c r="I166" s="507"/>
      <c r="J166" s="509" t="s">
        <v>535</v>
      </c>
      <c r="K166" s="506"/>
      <c r="L166" s="513"/>
    </row>
    <row r="167" spans="2:14" ht="15" hidden="1" customHeight="1" x14ac:dyDescent="0.2">
      <c r="B167" s="524" t="s">
        <v>536</v>
      </c>
      <c r="C167" s="549">
        <f>SUM(H25:K26)</f>
        <v>0</v>
      </c>
      <c r="D167" s="510"/>
      <c r="E167" s="524" t="s">
        <v>537</v>
      </c>
      <c r="F167" s="533">
        <f>SUM(H17:K24)</f>
        <v>0</v>
      </c>
      <c r="G167" s="547" t="s">
        <v>538</v>
      </c>
      <c r="H167" s="514"/>
      <c r="I167" s="507"/>
      <c r="J167" s="509" t="s">
        <v>539</v>
      </c>
      <c r="K167" s="506"/>
      <c r="L167" s="513"/>
    </row>
    <row r="168" spans="2:14" ht="19.5" hidden="1" customHeight="1" x14ac:dyDescent="0.35">
      <c r="B168" s="519" t="s">
        <v>540</v>
      </c>
      <c r="C168" s="515">
        <f>(1000/98)-10</f>
        <v>0.20408163265306101</v>
      </c>
      <c r="D168" s="510"/>
      <c r="E168" s="505" t="s">
        <v>380</v>
      </c>
      <c r="F168" s="520" t="e">
        <f>IF(I109&gt;64,(1000/I109)-10,0)</f>
        <v>#VALUE!</v>
      </c>
      <c r="G168" s="514"/>
      <c r="H168" s="514"/>
      <c r="I168" s="507"/>
      <c r="J168" s="509" t="s">
        <v>541</v>
      </c>
      <c r="K168" s="506"/>
      <c r="L168" s="513"/>
    </row>
    <row r="169" spans="2:14" ht="20.25" hidden="1" customHeight="1" thickBot="1" x14ac:dyDescent="0.25">
      <c r="B169" s="519" t="s">
        <v>542</v>
      </c>
      <c r="C169" s="516">
        <f>(1-(0.2*$C$168))^2/(1+(0.8*$C$168))</f>
        <v>0.79090583601861819</v>
      </c>
      <c r="D169" s="510"/>
      <c r="E169" s="505" t="s">
        <v>381</v>
      </c>
      <c r="F169" s="548" t="e">
        <f>IF(I109&gt;64,(1-(0.2*F168))^2/(1+(0.8*F168)),0)</f>
        <v>#VALUE!</v>
      </c>
      <c r="G169" s="514"/>
      <c r="H169" s="514"/>
      <c r="I169" s="523"/>
      <c r="J169" s="538"/>
      <c r="K169" s="511" t="s">
        <v>543</v>
      </c>
      <c r="L169" s="539" t="e">
        <f>(SUM(H25:K26))/H9</f>
        <v>#VALUE!</v>
      </c>
      <c r="M169" s="507" t="s">
        <v>544</v>
      </c>
    </row>
    <row r="170" spans="2:14" s="497" customFormat="1" ht="24" hidden="1" customHeight="1" thickBot="1" x14ac:dyDescent="0.4">
      <c r="B170" s="524" t="s">
        <v>545</v>
      </c>
      <c r="C170" s="545">
        <f>(C169/12)*(C167*43560)</f>
        <v>0</v>
      </c>
      <c r="D170" s="511"/>
      <c r="E170" s="511" t="s">
        <v>545</v>
      </c>
      <c r="F170" s="546" t="e">
        <f>(F169/12)*(F167*43560)</f>
        <v>#VALUE!</v>
      </c>
      <c r="G170" s="530" t="s">
        <v>546</v>
      </c>
      <c r="H170" s="521"/>
      <c r="I170" s="536"/>
      <c r="J170" s="540"/>
      <c r="K170" s="511" t="s">
        <v>547</v>
      </c>
      <c r="L170" s="539" t="e">
        <f>0.05+(0.9*L169)</f>
        <v>#VALUE!</v>
      </c>
      <c r="M170" s="523"/>
      <c r="N170" s="523"/>
    </row>
    <row r="171" spans="2:14" s="497" customFormat="1" ht="24" hidden="1" customHeight="1" thickBot="1" x14ac:dyDescent="0.4">
      <c r="B171" s="524" t="s">
        <v>382</v>
      </c>
      <c r="C171" s="525" t="e">
        <f>(C169*C167+F169*F167)/H10</f>
        <v>#VALUE!</v>
      </c>
      <c r="D171" s="526"/>
      <c r="E171" s="510"/>
      <c r="F171" s="518"/>
      <c r="G171" s="552" t="e">
        <f>C170+F170</f>
        <v>#VALUE!</v>
      </c>
      <c r="H171" s="532"/>
      <c r="I171" s="506" t="s">
        <v>548</v>
      </c>
      <c r="J171" s="540"/>
      <c r="K171" s="534" t="s">
        <v>549</v>
      </c>
      <c r="L171" s="535" t="e">
        <f>3630*1*L170*H9</f>
        <v>#VALUE!</v>
      </c>
      <c r="M171" s="523"/>
      <c r="N171" s="523"/>
    </row>
    <row r="172" spans="2:14" s="497" customFormat="1" ht="15.75" hidden="1" customHeight="1" thickBot="1" x14ac:dyDescent="0.25">
      <c r="B172" s="527"/>
      <c r="C172" s="528"/>
      <c r="D172" s="528"/>
      <c r="E172" s="528"/>
      <c r="F172" s="529"/>
      <c r="G172" s="527"/>
      <c r="H172" s="528"/>
      <c r="I172" s="537"/>
      <c r="J172" s="541"/>
      <c r="K172" s="537"/>
      <c r="L172" s="531"/>
      <c r="M172" s="523"/>
      <c r="N172" s="523"/>
    </row>
    <row r="173" spans="2:14" s="497" customFormat="1" ht="15" hidden="1" customHeight="1" x14ac:dyDescent="0.2">
      <c r="B173" s="868" t="s">
        <v>161</v>
      </c>
      <c r="C173" s="868"/>
      <c r="D173" s="868"/>
      <c r="E173" s="868"/>
      <c r="F173" s="523"/>
      <c r="G173" s="523"/>
      <c r="H173" s="523"/>
      <c r="I173" s="523"/>
      <c r="J173" s="523"/>
      <c r="K173" s="523"/>
      <c r="L173" s="523"/>
      <c r="M173" s="523"/>
      <c r="N173" s="523"/>
    </row>
    <row r="174" spans="2:14" s="497" customFormat="1" ht="15.75" hidden="1" customHeight="1" thickBot="1" x14ac:dyDescent="0.25">
      <c r="B174" s="868"/>
      <c r="C174" s="868"/>
      <c r="D174" s="868"/>
      <c r="E174" s="868"/>
      <c r="F174" s="523"/>
      <c r="G174" s="523"/>
      <c r="H174" s="523"/>
      <c r="I174" s="507"/>
      <c r="J174" s="523"/>
      <c r="K174" s="523"/>
      <c r="L174" s="523"/>
      <c r="M174" s="523"/>
      <c r="N174" s="523"/>
    </row>
    <row r="175" spans="2:14" s="497" customFormat="1" ht="16.5" hidden="1" customHeight="1" thickBot="1" x14ac:dyDescent="0.3">
      <c r="B175" s="351"/>
      <c r="C175" s="352"/>
      <c r="D175" s="353"/>
      <c r="E175" s="351"/>
      <c r="F175" s="523"/>
      <c r="G175" s="523"/>
      <c r="H175" s="523"/>
      <c r="I175" s="507" t="s">
        <v>550</v>
      </c>
      <c r="J175" s="523"/>
      <c r="K175" s="551" t="e">
        <f>IF(G171&gt;L171,G171,L171)</f>
        <v>#VALUE!</v>
      </c>
      <c r="L175" s="507" t="s">
        <v>551</v>
      </c>
      <c r="M175" s="523"/>
      <c r="N175" s="523"/>
    </row>
    <row r="176" spans="2:14" s="497" customFormat="1" ht="19.5" hidden="1" customHeight="1" x14ac:dyDescent="0.2">
      <c r="B176" s="833" t="s">
        <v>227</v>
      </c>
      <c r="C176" s="833"/>
      <c r="D176" s="833"/>
      <c r="E176" s="833"/>
      <c r="F176" s="507"/>
      <c r="G176" s="523"/>
      <c r="H176" s="349"/>
      <c r="I176" s="350"/>
      <c r="J176" s="523"/>
      <c r="K176" s="523"/>
      <c r="L176" s="523"/>
      <c r="M176" s="523"/>
      <c r="N176" s="523"/>
    </row>
    <row r="177" spans="2:14" s="497" customFormat="1" ht="15" hidden="1" customHeight="1" x14ac:dyDescent="0.2">
      <c r="B177" s="834" t="s">
        <v>33</v>
      </c>
      <c r="C177" s="834"/>
      <c r="D177" s="834"/>
      <c r="E177" s="834"/>
      <c r="F177" s="523"/>
      <c r="G177" s="523"/>
      <c r="H177" s="523"/>
      <c r="I177" s="523"/>
      <c r="J177" s="523"/>
      <c r="K177" s="523"/>
      <c r="L177" s="523"/>
      <c r="M177" s="523"/>
      <c r="N177" s="523"/>
    </row>
    <row r="178" spans="2:14" s="497" customFormat="1" ht="19.5" hidden="1" customHeight="1" x14ac:dyDescent="0.2">
      <c r="B178" s="833" t="s">
        <v>228</v>
      </c>
      <c r="C178" s="833"/>
      <c r="D178" s="833"/>
      <c r="E178" s="833"/>
      <c r="F178" s="523"/>
      <c r="G178" s="523"/>
      <c r="H178" s="523"/>
      <c r="I178" s="523"/>
      <c r="J178" s="523"/>
      <c r="K178" s="523"/>
      <c r="L178" s="523"/>
      <c r="M178" s="523"/>
      <c r="N178" s="523"/>
    </row>
    <row r="179" spans="2:14" s="497" customFormat="1" ht="19.5" hidden="1" customHeight="1" x14ac:dyDescent="0.2">
      <c r="B179" s="833" t="s">
        <v>224</v>
      </c>
      <c r="C179" s="833"/>
      <c r="D179" s="833"/>
      <c r="E179" s="833"/>
      <c r="F179" s="523"/>
      <c r="G179" s="523"/>
      <c r="H179" s="523"/>
      <c r="I179" s="523"/>
      <c r="J179" s="523"/>
      <c r="K179" s="523"/>
      <c r="L179" s="523"/>
      <c r="M179" s="523"/>
      <c r="N179" s="523"/>
    </row>
    <row r="180" spans="2:14" s="497" customFormat="1" ht="19.5" hidden="1" customHeight="1" x14ac:dyDescent="0.2">
      <c r="B180" s="833" t="s">
        <v>162</v>
      </c>
      <c r="C180" s="833"/>
      <c r="D180" s="833"/>
      <c r="E180" s="833"/>
      <c r="F180" s="523"/>
      <c r="G180" s="523"/>
      <c r="H180" s="523"/>
      <c r="I180" s="523"/>
      <c r="J180" s="523"/>
      <c r="K180" s="523"/>
      <c r="L180" s="523"/>
      <c r="M180" s="523"/>
      <c r="N180" s="523"/>
    </row>
    <row r="181" spans="2:14" s="497" customFormat="1" ht="15" hidden="1" customHeight="1" x14ac:dyDescent="0.2">
      <c r="B181" s="835" t="s">
        <v>163</v>
      </c>
      <c r="C181" s="835"/>
      <c r="D181" s="835"/>
      <c r="E181" s="835"/>
      <c r="F181" s="523"/>
      <c r="G181" s="523"/>
      <c r="H181" s="523"/>
      <c r="I181" s="523"/>
      <c r="J181" s="523"/>
      <c r="K181" s="523"/>
      <c r="L181" s="523"/>
      <c r="M181" s="523"/>
      <c r="N181" s="523"/>
    </row>
    <row r="182" spans="2:14" s="497" customFormat="1" ht="15" hidden="1" customHeight="1" x14ac:dyDescent="0.2">
      <c r="B182" s="523"/>
      <c r="C182" s="523"/>
      <c r="D182" s="523"/>
      <c r="E182" s="523"/>
      <c r="F182" s="523"/>
      <c r="G182" s="523"/>
      <c r="H182" s="523"/>
      <c r="I182" s="523"/>
      <c r="J182" s="523"/>
      <c r="K182" s="523"/>
      <c r="L182" s="523"/>
      <c r="M182" s="523"/>
      <c r="N182" s="523"/>
    </row>
    <row r="183" spans="2:14" s="497" customFormat="1" ht="19.5" hidden="1" customHeight="1" x14ac:dyDescent="0.2">
      <c r="B183" s="354" t="s">
        <v>225</v>
      </c>
      <c r="C183" s="355" t="e">
        <f>$H$74</f>
        <v>#VALUE!</v>
      </c>
      <c r="D183" s="356"/>
      <c r="E183" s="356"/>
      <c r="F183" s="523"/>
      <c r="G183" s="523"/>
      <c r="H183" s="523"/>
      <c r="I183" s="523"/>
      <c r="J183" s="523"/>
      <c r="K183" s="523"/>
      <c r="L183" s="523"/>
      <c r="M183" s="523"/>
      <c r="N183" s="523"/>
    </row>
    <row r="184" spans="2:14" s="139" customFormat="1" ht="19.5" hidden="1" customHeight="1" x14ac:dyDescent="0.2">
      <c r="B184" s="354" t="s">
        <v>164</v>
      </c>
      <c r="C184" s="160" t="e">
        <f>ROUND((C183-(C186/100)*98)/(1-(C186/100)),2)</f>
        <v>#VALUE!</v>
      </c>
      <c r="D184" s="356"/>
      <c r="E184" s="356"/>
      <c r="F184" s="507"/>
      <c r="G184" s="507"/>
      <c r="H184" s="507"/>
      <c r="I184" s="507"/>
      <c r="J184" s="507"/>
      <c r="K184" s="507"/>
      <c r="L184" s="507"/>
      <c r="M184" s="507"/>
      <c r="N184" s="507"/>
    </row>
    <row r="185" spans="2:14" s="139" customFormat="1" ht="19.5" hidden="1" customHeight="1" x14ac:dyDescent="0.2">
      <c r="B185" s="354" t="s">
        <v>165</v>
      </c>
      <c r="C185" s="357" t="e">
        <f>SUM(H25:K26)/SUM(H17:K26)</f>
        <v>#DIV/0!</v>
      </c>
      <c r="D185" s="358">
        <v>0.3</v>
      </c>
      <c r="E185" s="359"/>
      <c r="F185" s="507"/>
      <c r="G185" s="507"/>
      <c r="H185" s="507"/>
      <c r="I185" s="507"/>
      <c r="J185" s="507"/>
      <c r="K185" s="507"/>
      <c r="L185" s="507"/>
      <c r="M185" s="507"/>
      <c r="N185" s="507"/>
    </row>
    <row r="186" spans="2:14" s="139" customFormat="1" ht="34.5" hidden="1" customHeight="1" x14ac:dyDescent="0.2">
      <c r="B186" s="360" t="s">
        <v>317</v>
      </c>
      <c r="C186" s="357" t="e">
        <f>IF(C185&gt;D185,D185,C185)</f>
        <v>#DIV/0!</v>
      </c>
      <c r="D186" s="359"/>
      <c r="E186" s="359"/>
      <c r="F186" s="507"/>
      <c r="G186" s="507"/>
      <c r="H186" s="507"/>
      <c r="I186" s="507"/>
      <c r="J186" s="507"/>
      <c r="K186" s="507"/>
      <c r="L186" s="507"/>
      <c r="M186" s="507"/>
      <c r="N186" s="507"/>
    </row>
    <row r="187" spans="2:14" s="139" customFormat="1" ht="15" hidden="1" customHeight="1" x14ac:dyDescent="0.2">
      <c r="B187" s="354" t="s">
        <v>166</v>
      </c>
      <c r="C187" s="361" t="str">
        <f>IF(D76&gt;0,(D76/(SUM($H$25:$K$26))),"-")</f>
        <v>-</v>
      </c>
      <c r="D187" s="362"/>
      <c r="E187" s="362"/>
      <c r="F187" s="362"/>
      <c r="G187" s="362"/>
      <c r="H187" s="362"/>
      <c r="I187" s="362"/>
      <c r="J187" s="362"/>
      <c r="K187" s="506"/>
      <c r="L187" s="507"/>
      <c r="M187" s="507"/>
      <c r="N187" s="507"/>
    </row>
    <row r="188" spans="2:14" s="139" customFormat="1" ht="19.5" hidden="1" customHeight="1" x14ac:dyDescent="0.2">
      <c r="B188" s="354" t="s">
        <v>229</v>
      </c>
      <c r="C188" s="160" t="e">
        <f>ROUND(C184+((C186/100)*(98-C184)*(1-(0.5*C187))),2)</f>
        <v>#VALUE!</v>
      </c>
      <c r="D188" s="507"/>
      <c r="E188" s="507"/>
      <c r="F188" s="507"/>
      <c r="G188" s="507"/>
      <c r="H188" s="507"/>
      <c r="I188" s="507"/>
      <c r="J188" s="507"/>
      <c r="K188" s="507"/>
      <c r="L188" s="507"/>
      <c r="M188" s="507"/>
      <c r="N188" s="507"/>
    </row>
    <row r="189" spans="2:14" s="497" customFormat="1" ht="15" hidden="1" customHeight="1" x14ac:dyDescent="0.2">
      <c r="B189" s="523"/>
      <c r="C189" s="523"/>
      <c r="D189" s="523"/>
      <c r="E189" s="523"/>
      <c r="F189" s="523"/>
      <c r="G189" s="523"/>
      <c r="H189" s="523"/>
      <c r="I189" s="523"/>
      <c r="J189" s="523"/>
      <c r="K189" s="523"/>
      <c r="L189" s="523"/>
      <c r="M189" s="523"/>
      <c r="N189" s="523"/>
    </row>
    <row r="190" spans="2:14" s="497" customFormat="1" ht="15" hidden="1" customHeight="1" x14ac:dyDescent="0.2">
      <c r="B190" s="523"/>
      <c r="C190" s="523"/>
      <c r="D190" s="523"/>
      <c r="E190" s="523"/>
      <c r="F190" s="523"/>
      <c r="G190" s="523"/>
      <c r="H190" s="523"/>
      <c r="I190" s="523"/>
      <c r="J190" s="523"/>
      <c r="K190" s="523"/>
      <c r="L190" s="523"/>
      <c r="M190" s="523"/>
      <c r="N190" s="523"/>
    </row>
    <row r="191" spans="2:14" s="497" customFormat="1" ht="30" hidden="1" customHeight="1" x14ac:dyDescent="0.2">
      <c r="B191" s="413" t="s">
        <v>402</v>
      </c>
      <c r="C191" s="361">
        <f>SUM($H$26:$K$26)</f>
        <v>0</v>
      </c>
      <c r="D191" s="523"/>
      <c r="E191" s="362"/>
      <c r="F191" s="362"/>
      <c r="G191" s="362"/>
      <c r="H191" s="362"/>
      <c r="I191" s="362"/>
      <c r="J191" s="362"/>
      <c r="K191" s="362"/>
      <c r="L191" s="523"/>
      <c r="M191" s="523"/>
      <c r="N191" s="523"/>
    </row>
    <row r="192" spans="2:14" s="497" customFormat="1" ht="15" hidden="1" customHeight="1" x14ac:dyDescent="0.2">
      <c r="B192" s="523"/>
      <c r="C192" s="523"/>
      <c r="D192" s="523"/>
      <c r="E192" s="523"/>
      <c r="F192" s="523"/>
      <c r="G192" s="523"/>
      <c r="H192" s="523"/>
      <c r="I192" s="523"/>
      <c r="J192" s="523"/>
      <c r="K192" s="523"/>
      <c r="L192" s="523"/>
      <c r="M192" s="523"/>
      <c r="N192" s="523"/>
    </row>
    <row r="193" spans="2:14" s="497" customFormat="1" ht="15" hidden="1" customHeight="1" x14ac:dyDescent="0.2">
      <c r="B193" s="523"/>
      <c r="C193" s="523"/>
      <c r="D193" s="523"/>
      <c r="E193" s="523"/>
      <c r="F193" s="523"/>
      <c r="G193" s="523"/>
      <c r="H193" s="523"/>
      <c r="I193" s="523"/>
      <c r="J193" s="523"/>
      <c r="K193" s="523"/>
      <c r="L193" s="523"/>
      <c r="M193" s="523"/>
      <c r="N193" s="523"/>
    </row>
    <row r="194" spans="2:14" s="497" customFormat="1" ht="15" hidden="1" customHeight="1" x14ac:dyDescent="0.2">
      <c r="B194" s="523"/>
      <c r="C194" s="523"/>
      <c r="D194" s="523"/>
      <c r="E194" s="523"/>
      <c r="F194" s="523"/>
      <c r="G194" s="523"/>
      <c r="H194" s="523"/>
      <c r="I194" s="523"/>
      <c r="J194" s="523"/>
      <c r="K194" s="523"/>
      <c r="L194" s="523"/>
      <c r="M194" s="523"/>
      <c r="N194" s="523"/>
    </row>
    <row r="195" spans="2:14" s="497" customFormat="1" ht="15.75" thickTop="1" x14ac:dyDescent="0.2">
      <c r="B195" s="737" t="s">
        <v>435</v>
      </c>
      <c r="C195" s="737"/>
      <c r="D195" s="737"/>
      <c r="E195" s="737"/>
      <c r="F195" s="737"/>
      <c r="G195" s="737"/>
      <c r="H195" s="737"/>
      <c r="I195" s="737"/>
      <c r="J195" s="737"/>
      <c r="K195" s="737"/>
      <c r="L195" s="507"/>
      <c r="M195" s="523"/>
      <c r="N195" s="523"/>
    </row>
    <row r="196" spans="2:14" x14ac:dyDescent="0.2">
      <c r="B196" s="737"/>
      <c r="C196" s="737"/>
      <c r="D196" s="737"/>
      <c r="E196" s="737"/>
      <c r="F196" s="737"/>
      <c r="G196" s="737"/>
      <c r="H196" s="737"/>
      <c r="I196" s="737"/>
      <c r="J196" s="737"/>
      <c r="K196" s="737"/>
      <c r="L196" s="507"/>
    </row>
    <row r="197" spans="2:14" ht="15.75" x14ac:dyDescent="0.2">
      <c r="B197" s="738" t="s">
        <v>436</v>
      </c>
      <c r="C197" s="738"/>
      <c r="D197" s="738"/>
      <c r="E197" s="738"/>
      <c r="F197" s="738"/>
      <c r="G197" s="738"/>
      <c r="H197" s="738"/>
      <c r="I197" s="738"/>
      <c r="J197" s="738"/>
      <c r="K197" s="738"/>
      <c r="L197" s="507"/>
    </row>
    <row r="198" spans="2:14" x14ac:dyDescent="0.2">
      <c r="B198" s="737" t="s">
        <v>437</v>
      </c>
      <c r="C198" s="737"/>
      <c r="D198" s="737"/>
      <c r="E198" s="737"/>
      <c r="F198" s="737"/>
      <c r="G198" s="737"/>
      <c r="H198" s="737"/>
      <c r="I198" s="737"/>
      <c r="J198" s="737"/>
      <c r="K198" s="737"/>
      <c r="L198" s="507"/>
    </row>
    <row r="199" spans="2:14" x14ac:dyDescent="0.2">
      <c r="B199" s="737"/>
      <c r="C199" s="737"/>
      <c r="D199" s="737"/>
      <c r="E199" s="737"/>
      <c r="F199" s="737"/>
      <c r="G199" s="737"/>
      <c r="H199" s="737"/>
      <c r="I199" s="737"/>
      <c r="J199" s="737"/>
      <c r="K199" s="737"/>
    </row>
    <row r="200" spans="2:14" x14ac:dyDescent="0.2">
      <c r="B200" s="507"/>
      <c r="C200" s="507"/>
      <c r="D200" s="507"/>
      <c r="E200" s="160"/>
      <c r="F200" s="160"/>
      <c r="G200" s="160"/>
      <c r="H200" s="507"/>
      <c r="I200" s="507"/>
      <c r="J200" s="507"/>
      <c r="K200" s="507"/>
    </row>
    <row r="201" spans="2:14" x14ac:dyDescent="0.2">
      <c r="B201" s="507"/>
      <c r="C201" s="507"/>
      <c r="D201" s="507"/>
      <c r="E201" s="160"/>
      <c r="F201" s="160"/>
      <c r="G201" s="160"/>
      <c r="H201" s="507"/>
      <c r="I201" s="507"/>
      <c r="J201" s="507"/>
      <c r="K201" s="507"/>
    </row>
    <row r="202" spans="2:14" x14ac:dyDescent="0.2">
      <c r="B202" s="507"/>
      <c r="C202" s="507"/>
      <c r="D202" s="507"/>
      <c r="E202" s="160"/>
      <c r="F202" s="160"/>
      <c r="G202" s="160"/>
      <c r="H202" s="507"/>
      <c r="I202" s="507"/>
      <c r="J202" s="507"/>
      <c r="K202" s="507"/>
    </row>
    <row r="203" spans="2:14" x14ac:dyDescent="0.2">
      <c r="B203" s="507"/>
      <c r="C203" s="507"/>
      <c r="D203" s="507"/>
      <c r="E203" s="160"/>
      <c r="F203" s="160"/>
      <c r="G203" s="160"/>
      <c r="H203" s="507"/>
      <c r="I203" s="507"/>
      <c r="J203" s="507"/>
      <c r="K203" s="507"/>
    </row>
    <row r="204" spans="2:14" x14ac:dyDescent="0.2">
      <c r="B204" s="507"/>
      <c r="C204" s="507"/>
      <c r="D204" s="507"/>
      <c r="E204" s="160"/>
      <c r="F204" s="160"/>
      <c r="G204" s="160"/>
      <c r="H204" s="507"/>
      <c r="I204" s="507"/>
      <c r="J204" s="507"/>
      <c r="K204" s="507"/>
    </row>
    <row r="205" spans="2:14" x14ac:dyDescent="0.2">
      <c r="B205" s="507"/>
      <c r="C205" s="507"/>
      <c r="D205" s="507"/>
      <c r="E205" s="160"/>
      <c r="F205" s="160"/>
      <c r="G205" s="160"/>
      <c r="H205" s="507"/>
      <c r="I205" s="507"/>
      <c r="J205" s="507"/>
      <c r="K205" s="507"/>
    </row>
    <row r="206" spans="2:14" x14ac:dyDescent="0.2">
      <c r="B206" s="507"/>
      <c r="C206" s="507"/>
      <c r="D206" s="507"/>
      <c r="E206" s="160"/>
      <c r="F206" s="160"/>
      <c r="G206" s="160"/>
      <c r="H206" s="507"/>
      <c r="I206" s="507"/>
      <c r="J206" s="507"/>
      <c r="K206" s="507"/>
    </row>
    <row r="207" spans="2:14" x14ac:dyDescent="0.2">
      <c r="B207" s="507"/>
      <c r="C207" s="507"/>
      <c r="D207" s="507"/>
      <c r="E207" s="160"/>
      <c r="F207" s="160"/>
      <c r="G207" s="160"/>
      <c r="H207" s="507"/>
      <c r="I207" s="507"/>
      <c r="J207" s="507"/>
      <c r="K207" s="507"/>
    </row>
    <row r="208" spans="2:14" x14ac:dyDescent="0.2">
      <c r="B208" s="507"/>
      <c r="C208" s="507"/>
      <c r="D208" s="507"/>
      <c r="E208" s="160"/>
      <c r="F208" s="160"/>
      <c r="G208" s="160"/>
      <c r="H208" s="507"/>
      <c r="I208" s="507"/>
      <c r="J208" s="507"/>
      <c r="K208" s="507"/>
    </row>
    <row r="209" spans="2:12" x14ac:dyDescent="0.2">
      <c r="B209" s="507"/>
      <c r="C209" s="507"/>
      <c r="D209" s="507"/>
      <c r="E209" s="160"/>
      <c r="F209" s="160"/>
      <c r="G209" s="160"/>
      <c r="H209" s="507"/>
      <c r="I209" s="507"/>
      <c r="J209" s="507"/>
      <c r="K209" s="507"/>
    </row>
    <row r="210" spans="2:12" s="507" customFormat="1" x14ac:dyDescent="0.2">
      <c r="E210" s="160"/>
      <c r="F210" s="160"/>
      <c r="G210" s="160"/>
      <c r="L210" s="160"/>
    </row>
    <row r="211" spans="2:12" s="507" customFormat="1" x14ac:dyDescent="0.2">
      <c r="E211" s="160"/>
      <c r="F211" s="160"/>
      <c r="G211" s="160"/>
      <c r="L211" s="160"/>
    </row>
    <row r="212" spans="2:12" s="507" customFormat="1" x14ac:dyDescent="0.2">
      <c r="E212" s="160"/>
      <c r="F212" s="160"/>
      <c r="G212" s="160"/>
      <c r="L212" s="160"/>
    </row>
    <row r="213" spans="2:12" s="507" customFormat="1" x14ac:dyDescent="0.2">
      <c r="E213" s="160"/>
      <c r="F213" s="160"/>
      <c r="G213" s="160"/>
      <c r="L213" s="160"/>
    </row>
    <row r="214" spans="2:12" s="507" customFormat="1" x14ac:dyDescent="0.2">
      <c r="E214" s="160"/>
      <c r="F214" s="160"/>
      <c r="G214" s="160"/>
      <c r="L214" s="160"/>
    </row>
    <row r="215" spans="2:12" s="507" customFormat="1" x14ac:dyDescent="0.2">
      <c r="E215" s="160"/>
      <c r="F215" s="160"/>
      <c r="G215" s="160"/>
      <c r="L215" s="160"/>
    </row>
    <row r="216" spans="2:12" s="507" customFormat="1" x14ac:dyDescent="0.2">
      <c r="E216" s="160"/>
      <c r="F216" s="160"/>
      <c r="G216" s="160"/>
      <c r="L216" s="160"/>
    </row>
    <row r="217" spans="2:12" s="507" customFormat="1" x14ac:dyDescent="0.2">
      <c r="E217" s="160"/>
      <c r="F217" s="160"/>
      <c r="G217" s="160"/>
      <c r="L217" s="160"/>
    </row>
    <row r="218" spans="2:12" s="507" customFormat="1" x14ac:dyDescent="0.2">
      <c r="E218" s="160"/>
      <c r="F218" s="160"/>
      <c r="G218" s="160"/>
      <c r="L218" s="160"/>
    </row>
    <row r="219" spans="2:12" s="507" customFormat="1" x14ac:dyDescent="0.2">
      <c r="E219" s="160"/>
      <c r="F219" s="160"/>
      <c r="G219" s="160"/>
      <c r="L219" s="160"/>
    </row>
    <row r="220" spans="2:12" s="507" customFormat="1" x14ac:dyDescent="0.2">
      <c r="E220" s="160"/>
      <c r="F220" s="160"/>
      <c r="G220" s="160"/>
      <c r="L220" s="160"/>
    </row>
    <row r="221" spans="2:12" s="507" customFormat="1" x14ac:dyDescent="0.2">
      <c r="E221" s="160"/>
      <c r="F221" s="160"/>
      <c r="G221" s="160"/>
      <c r="L221" s="160"/>
    </row>
    <row r="222" spans="2:12" s="507" customFormat="1" x14ac:dyDescent="0.2">
      <c r="E222" s="160"/>
      <c r="F222" s="160"/>
      <c r="G222" s="160"/>
      <c r="L222" s="160"/>
    </row>
    <row r="223" spans="2:12" s="507" customFormat="1" x14ac:dyDescent="0.2">
      <c r="E223" s="160"/>
      <c r="F223" s="160"/>
      <c r="G223" s="160"/>
      <c r="L223" s="160"/>
    </row>
    <row r="224" spans="2:12" s="507" customFormat="1" x14ac:dyDescent="0.2">
      <c r="E224" s="160"/>
      <c r="F224" s="160"/>
      <c r="G224" s="160"/>
      <c r="L224" s="160"/>
    </row>
    <row r="225" spans="5:12" s="507" customFormat="1" x14ac:dyDescent="0.2">
      <c r="E225" s="160"/>
      <c r="F225" s="160"/>
      <c r="G225" s="160"/>
      <c r="L225" s="160"/>
    </row>
    <row r="226" spans="5:12" s="507" customFormat="1" x14ac:dyDescent="0.2">
      <c r="E226" s="160"/>
      <c r="F226" s="160"/>
      <c r="G226" s="160"/>
      <c r="L226" s="160"/>
    </row>
    <row r="227" spans="5:12" s="507" customFormat="1" x14ac:dyDescent="0.2">
      <c r="E227" s="160"/>
      <c r="F227" s="160"/>
      <c r="G227" s="160"/>
      <c r="L227" s="160"/>
    </row>
    <row r="228" spans="5:12" s="507" customFormat="1" x14ac:dyDescent="0.2">
      <c r="E228" s="160"/>
      <c r="F228" s="160"/>
      <c r="G228" s="160"/>
      <c r="L228" s="160"/>
    </row>
    <row r="229" spans="5:12" s="507" customFormat="1" x14ac:dyDescent="0.2">
      <c r="E229" s="160"/>
      <c r="F229" s="160"/>
      <c r="G229" s="160"/>
      <c r="L229" s="160"/>
    </row>
    <row r="230" spans="5:12" s="507" customFormat="1" x14ac:dyDescent="0.2">
      <c r="E230" s="160"/>
      <c r="F230" s="160"/>
      <c r="G230" s="160"/>
      <c r="L230" s="160"/>
    </row>
    <row r="231" spans="5:12" s="507" customFormat="1" x14ac:dyDescent="0.2">
      <c r="E231" s="160"/>
      <c r="F231" s="160"/>
      <c r="G231" s="160"/>
      <c r="L231" s="160"/>
    </row>
    <row r="232" spans="5:12" s="507" customFormat="1" x14ac:dyDescent="0.2">
      <c r="E232" s="160"/>
      <c r="F232" s="160"/>
      <c r="G232" s="160"/>
      <c r="L232" s="160"/>
    </row>
    <row r="233" spans="5:12" s="507" customFormat="1" x14ac:dyDescent="0.2">
      <c r="E233" s="160"/>
      <c r="F233" s="160"/>
      <c r="G233" s="160"/>
      <c r="L233" s="160"/>
    </row>
    <row r="234" spans="5:12" s="507" customFormat="1" x14ac:dyDescent="0.2">
      <c r="E234" s="160"/>
      <c r="F234" s="160"/>
      <c r="G234" s="160"/>
      <c r="L234" s="160"/>
    </row>
    <row r="235" spans="5:12" s="507" customFormat="1" x14ac:dyDescent="0.2">
      <c r="E235" s="160"/>
      <c r="F235" s="160"/>
      <c r="G235" s="160"/>
      <c r="L235" s="160"/>
    </row>
    <row r="236" spans="5:12" s="507" customFormat="1" x14ac:dyDescent="0.2">
      <c r="E236" s="160"/>
      <c r="F236" s="160"/>
      <c r="G236" s="160"/>
      <c r="L236" s="160"/>
    </row>
    <row r="237" spans="5:12" s="507" customFormat="1" x14ac:dyDescent="0.2">
      <c r="E237" s="160"/>
      <c r="F237" s="160"/>
      <c r="G237" s="160"/>
      <c r="L237" s="160"/>
    </row>
    <row r="238" spans="5:12" s="507" customFormat="1" x14ac:dyDescent="0.2">
      <c r="E238" s="160"/>
      <c r="F238" s="160"/>
      <c r="G238" s="160"/>
      <c r="L238" s="160"/>
    </row>
    <row r="239" spans="5:12" s="507" customFormat="1" x14ac:dyDescent="0.2">
      <c r="E239" s="160"/>
      <c r="F239" s="160"/>
      <c r="G239" s="160"/>
      <c r="L239" s="160"/>
    </row>
    <row r="240" spans="5:12" s="507" customFormat="1" x14ac:dyDescent="0.2">
      <c r="E240" s="160"/>
      <c r="F240" s="160"/>
      <c r="G240" s="160"/>
      <c r="L240" s="160"/>
    </row>
    <row r="241" spans="5:12" s="507" customFormat="1" x14ac:dyDescent="0.2">
      <c r="E241" s="160"/>
      <c r="F241" s="160"/>
      <c r="G241" s="160"/>
      <c r="L241" s="160"/>
    </row>
    <row r="242" spans="5:12" s="507" customFormat="1" x14ac:dyDescent="0.2">
      <c r="E242" s="160"/>
      <c r="F242" s="160"/>
      <c r="G242" s="160"/>
      <c r="L242" s="160"/>
    </row>
    <row r="243" spans="5:12" s="507" customFormat="1" x14ac:dyDescent="0.2">
      <c r="E243" s="160"/>
      <c r="F243" s="160"/>
      <c r="G243" s="160"/>
      <c r="L243" s="160"/>
    </row>
    <row r="244" spans="5:12" s="507" customFormat="1" x14ac:dyDescent="0.2">
      <c r="E244" s="160"/>
      <c r="F244" s="160"/>
      <c r="G244" s="160"/>
      <c r="L244" s="160"/>
    </row>
  </sheetData>
  <sheetProtection password="E421" sheet="1" objects="1" scenarios="1"/>
  <mergeCells count="251">
    <mergeCell ref="B9:C9"/>
    <mergeCell ref="D9:G9"/>
    <mergeCell ref="H9:K9"/>
    <mergeCell ref="B10:C10"/>
    <mergeCell ref="D10:G10"/>
    <mergeCell ref="H10:K10"/>
    <mergeCell ref="B1:D1"/>
    <mergeCell ref="E1:K1"/>
    <mergeCell ref="B3:K3"/>
    <mergeCell ref="B4:K4"/>
    <mergeCell ref="B8:C8"/>
    <mergeCell ref="D8:G8"/>
    <mergeCell ref="H8:K8"/>
    <mergeCell ref="B14:C14"/>
    <mergeCell ref="D14:G14"/>
    <mergeCell ref="H14:K14"/>
    <mergeCell ref="B15:C15"/>
    <mergeCell ref="D15:G15"/>
    <mergeCell ref="H15:K15"/>
    <mergeCell ref="B11:C11"/>
    <mergeCell ref="D11:K11"/>
    <mergeCell ref="B12:C12"/>
    <mergeCell ref="D12:K12"/>
    <mergeCell ref="B13:C13"/>
    <mergeCell ref="D13:K13"/>
    <mergeCell ref="B25:C25"/>
    <mergeCell ref="B26:C26"/>
    <mergeCell ref="D27:G27"/>
    <mergeCell ref="H27:K27"/>
    <mergeCell ref="B28:C28"/>
    <mergeCell ref="D28:G28"/>
    <mergeCell ref="H28:K28"/>
    <mergeCell ref="B16:C16"/>
    <mergeCell ref="L16:L24"/>
    <mergeCell ref="B17:C17"/>
    <mergeCell ref="B18:C18"/>
    <mergeCell ref="B19:C19"/>
    <mergeCell ref="B20:C20"/>
    <mergeCell ref="B21:C21"/>
    <mergeCell ref="B22:C22"/>
    <mergeCell ref="B23:C23"/>
    <mergeCell ref="B24:C24"/>
    <mergeCell ref="H31:K31"/>
    <mergeCell ref="B32:C32"/>
    <mergeCell ref="D32:G32"/>
    <mergeCell ref="H32:K32"/>
    <mergeCell ref="B33:C33"/>
    <mergeCell ref="D33:G33"/>
    <mergeCell ref="H33:K33"/>
    <mergeCell ref="L28:L29"/>
    <mergeCell ref="B29:C29"/>
    <mergeCell ref="D29:G29"/>
    <mergeCell ref="H29:K29"/>
    <mergeCell ref="B30:C30"/>
    <mergeCell ref="D30:G30"/>
    <mergeCell ref="H30:K30"/>
    <mergeCell ref="L30:L33"/>
    <mergeCell ref="B31:C31"/>
    <mergeCell ref="D31:G31"/>
    <mergeCell ref="B37:C37"/>
    <mergeCell ref="D37:G37"/>
    <mergeCell ref="H37:K37"/>
    <mergeCell ref="B38:C38"/>
    <mergeCell ref="D38:G38"/>
    <mergeCell ref="H38:K38"/>
    <mergeCell ref="B34:C34"/>
    <mergeCell ref="B35:C35"/>
    <mergeCell ref="D35:G35"/>
    <mergeCell ref="H35:K35"/>
    <mergeCell ref="B36:C36"/>
    <mergeCell ref="D36:G36"/>
    <mergeCell ref="H36:K36"/>
    <mergeCell ref="B41:C41"/>
    <mergeCell ref="D41:G41"/>
    <mergeCell ref="H41:K41"/>
    <mergeCell ref="B42:C42"/>
    <mergeCell ref="D42:G42"/>
    <mergeCell ref="H42:K42"/>
    <mergeCell ref="L38:L39"/>
    <mergeCell ref="B39:C39"/>
    <mergeCell ref="D39:G39"/>
    <mergeCell ref="H39:K39"/>
    <mergeCell ref="B40:C40"/>
    <mergeCell ref="D40:G40"/>
    <mergeCell ref="H40:K40"/>
    <mergeCell ref="B45:C45"/>
    <mergeCell ref="D45:G45"/>
    <mergeCell ref="H45:K45"/>
    <mergeCell ref="B46:C46"/>
    <mergeCell ref="D46:G46"/>
    <mergeCell ref="H46:K46"/>
    <mergeCell ref="B43:C43"/>
    <mergeCell ref="D43:G43"/>
    <mergeCell ref="H43:K43"/>
    <mergeCell ref="B44:C44"/>
    <mergeCell ref="D44:G44"/>
    <mergeCell ref="H44:K44"/>
    <mergeCell ref="B50:C50"/>
    <mergeCell ref="D50:G50"/>
    <mergeCell ref="H50:K50"/>
    <mergeCell ref="B51:C51"/>
    <mergeCell ref="D51:G51"/>
    <mergeCell ref="H51:K51"/>
    <mergeCell ref="L46:L49"/>
    <mergeCell ref="B47:C47"/>
    <mergeCell ref="D47:G47"/>
    <mergeCell ref="H47:K47"/>
    <mergeCell ref="B48:C48"/>
    <mergeCell ref="D48:G48"/>
    <mergeCell ref="H48:K48"/>
    <mergeCell ref="B49:C49"/>
    <mergeCell ref="D49:G49"/>
    <mergeCell ref="H49:K49"/>
    <mergeCell ref="B54:C54"/>
    <mergeCell ref="D54:G54"/>
    <mergeCell ref="H54:K54"/>
    <mergeCell ref="B55:C55"/>
    <mergeCell ref="D55:G55"/>
    <mergeCell ref="H55:K55"/>
    <mergeCell ref="B52:C52"/>
    <mergeCell ref="D52:G52"/>
    <mergeCell ref="H52:K52"/>
    <mergeCell ref="B53:C53"/>
    <mergeCell ref="D53:G53"/>
    <mergeCell ref="H53:K53"/>
    <mergeCell ref="B56:C56"/>
    <mergeCell ref="D56:G56"/>
    <mergeCell ref="H56:K56"/>
    <mergeCell ref="L56:L59"/>
    <mergeCell ref="B57:C57"/>
    <mergeCell ref="D57:G57"/>
    <mergeCell ref="H57:K57"/>
    <mergeCell ref="B58:C58"/>
    <mergeCell ref="D58:G58"/>
    <mergeCell ref="H58:K58"/>
    <mergeCell ref="B61:C61"/>
    <mergeCell ref="D61:G61"/>
    <mergeCell ref="H61:K61"/>
    <mergeCell ref="B62:C62"/>
    <mergeCell ref="D62:G62"/>
    <mergeCell ref="H62:K62"/>
    <mergeCell ref="B59:C59"/>
    <mergeCell ref="D59:G59"/>
    <mergeCell ref="H59:K59"/>
    <mergeCell ref="B60:C60"/>
    <mergeCell ref="D60:G60"/>
    <mergeCell ref="H60:K60"/>
    <mergeCell ref="B65:C65"/>
    <mergeCell ref="D65:G65"/>
    <mergeCell ref="H65:K65"/>
    <mergeCell ref="B66:C66"/>
    <mergeCell ref="D66:G66"/>
    <mergeCell ref="H66:K66"/>
    <mergeCell ref="B63:C63"/>
    <mergeCell ref="D63:G63"/>
    <mergeCell ref="H63:K63"/>
    <mergeCell ref="B64:C64"/>
    <mergeCell ref="D64:G64"/>
    <mergeCell ref="H64:K64"/>
    <mergeCell ref="L66:L69"/>
    <mergeCell ref="B67:C67"/>
    <mergeCell ref="D67:G67"/>
    <mergeCell ref="H67:K67"/>
    <mergeCell ref="B68:C68"/>
    <mergeCell ref="D68:G68"/>
    <mergeCell ref="H68:K68"/>
    <mergeCell ref="B69:C69"/>
    <mergeCell ref="D69:G69"/>
    <mergeCell ref="H69:K69"/>
    <mergeCell ref="B73:C73"/>
    <mergeCell ref="D73:G73"/>
    <mergeCell ref="H73:K73"/>
    <mergeCell ref="B74:C74"/>
    <mergeCell ref="D74:G74"/>
    <mergeCell ref="H74:K74"/>
    <mergeCell ref="B70:C70"/>
    <mergeCell ref="D70:G70"/>
    <mergeCell ref="H70:K70"/>
    <mergeCell ref="D71:G71"/>
    <mergeCell ref="H71:K71"/>
    <mergeCell ref="B72:C72"/>
    <mergeCell ref="D72:G72"/>
    <mergeCell ref="H72:K72"/>
    <mergeCell ref="B79:C79"/>
    <mergeCell ref="D79:K79"/>
    <mergeCell ref="B80:C80"/>
    <mergeCell ref="D80:K80"/>
    <mergeCell ref="B81:C81"/>
    <mergeCell ref="B82:C82"/>
    <mergeCell ref="D82:G82"/>
    <mergeCell ref="H82:K82"/>
    <mergeCell ref="B75:C75"/>
    <mergeCell ref="B76:C76"/>
    <mergeCell ref="D76:K76"/>
    <mergeCell ref="B77:C77"/>
    <mergeCell ref="D77:K77"/>
    <mergeCell ref="B78:C78"/>
    <mergeCell ref="B86:C86"/>
    <mergeCell ref="B87:C87"/>
    <mergeCell ref="D87:G87"/>
    <mergeCell ref="H87:K87"/>
    <mergeCell ref="B88:C88"/>
    <mergeCell ref="D88:G88"/>
    <mergeCell ref="H88:K88"/>
    <mergeCell ref="B83:C83"/>
    <mergeCell ref="D83:G83"/>
    <mergeCell ref="H83:K83"/>
    <mergeCell ref="B84:C84"/>
    <mergeCell ref="D84:K84"/>
    <mergeCell ref="B85:C85"/>
    <mergeCell ref="D85:G85"/>
    <mergeCell ref="H85:K85"/>
    <mergeCell ref="B92:C92"/>
    <mergeCell ref="D92:G92"/>
    <mergeCell ref="H92:K92"/>
    <mergeCell ref="B93:C93"/>
    <mergeCell ref="D93:G93"/>
    <mergeCell ref="H93:K93"/>
    <mergeCell ref="B89:C89"/>
    <mergeCell ref="D89:G89"/>
    <mergeCell ref="H89:K89"/>
    <mergeCell ref="B90:C90"/>
    <mergeCell ref="B91:C91"/>
    <mergeCell ref="D91:G91"/>
    <mergeCell ref="H91:K91"/>
    <mergeCell ref="B115:C115"/>
    <mergeCell ref="B116:C116"/>
    <mergeCell ref="E122:N122"/>
    <mergeCell ref="E130:N130"/>
    <mergeCell ref="J139:M140"/>
    <mergeCell ref="B140:G141"/>
    <mergeCell ref="D94:K94"/>
    <mergeCell ref="B96:L96"/>
    <mergeCell ref="B98:I98"/>
    <mergeCell ref="E109:F109"/>
    <mergeCell ref="B112:C113"/>
    <mergeCell ref="E112:N112"/>
    <mergeCell ref="E113:N113"/>
    <mergeCell ref="B198:K199"/>
    <mergeCell ref="B178:E178"/>
    <mergeCell ref="B179:E179"/>
    <mergeCell ref="B180:E180"/>
    <mergeCell ref="B181:E181"/>
    <mergeCell ref="B195:K196"/>
    <mergeCell ref="B197:K197"/>
    <mergeCell ref="B147:G149"/>
    <mergeCell ref="I149:N151"/>
    <mergeCell ref="B163:F163"/>
    <mergeCell ref="B173:E174"/>
    <mergeCell ref="B176:E176"/>
    <mergeCell ref="B177:E177"/>
  </mergeCells>
  <conditionalFormatting sqref="H88 H81 D81 D76 D83:K84 E1:K1 D46:K49 D56:K59 D66:K69 H91:K92 D32:K33 D79:K79">
    <cfRule type="cellIs" dxfId="460" priority="19" operator="lessThan">
      <formula>0.00001</formula>
    </cfRule>
  </conditionalFormatting>
  <conditionalFormatting sqref="I94:I97 F123:K129 F99:F108 D142:G146 B93 G99:I111 J94:K111 F110:F111 F114:K121 D150:F162 H131:H195 G150:G195 F131:G139 D99:E139 D81:D92 D93:H97 E81:H83 I131:K137 B94:C94 D39:K39 D72:H78 L77 D33:K33 I73:K78 I81:K82 E92:L92 E85:K91 I93:K93 D164:F195 I160:K195">
    <cfRule type="containsErrors" dxfId="459" priority="12">
      <formula>ISERROR(B33)</formula>
    </cfRule>
  </conditionalFormatting>
  <conditionalFormatting sqref="H81 D81 D83:K84 D11:K13 D79:K79">
    <cfRule type="cellIs" dxfId="458" priority="17" operator="lessThan">
      <formula>0.0001</formula>
    </cfRule>
  </conditionalFormatting>
  <conditionalFormatting sqref="H88 H81 D81 D83:K84 D67:K69 D57:K59 H91:K92 D47:K49 D79:K79">
    <cfRule type="cellIs" priority="16" operator="lessThan">
      <formula>0.00001</formula>
    </cfRule>
  </conditionalFormatting>
  <conditionalFormatting sqref="H88 D11:K13 H91:K92">
    <cfRule type="cellIs" dxfId="457" priority="15" operator="lessThan">
      <formula>0.000001</formula>
    </cfRule>
  </conditionalFormatting>
  <conditionalFormatting sqref="D38:K39">
    <cfRule type="cellIs" dxfId="456" priority="14" operator="lessThan">
      <formula>0.00001</formula>
    </cfRule>
  </conditionalFormatting>
  <conditionalFormatting sqref="L92 L77">
    <cfRule type="cellIs" dxfId="455" priority="13" operator="greaterThan">
      <formula>$G$35</formula>
    </cfRule>
  </conditionalFormatting>
  <conditionalFormatting sqref="H85:K85">
    <cfRule type="cellIs" dxfId="454" priority="18" operator="greaterThan">
      <formula>$D$85</formula>
    </cfRule>
  </conditionalFormatting>
  <conditionalFormatting sqref="D80:K80">
    <cfRule type="cellIs" dxfId="453" priority="9" operator="lessThan">
      <formula>0.00001</formula>
    </cfRule>
  </conditionalFormatting>
  <conditionalFormatting sqref="D80:K80">
    <cfRule type="cellIs" dxfId="452" priority="8" operator="lessThan">
      <formula>0.0001</formula>
    </cfRule>
  </conditionalFormatting>
  <conditionalFormatting sqref="D80:K80">
    <cfRule type="cellIs" priority="7" operator="lessThan">
      <formula>0.00001</formula>
    </cfRule>
  </conditionalFormatting>
  <conditionalFormatting sqref="D80:K80">
    <cfRule type="cellIs" dxfId="451" priority="6" operator="lessThan">
      <formula>0.00001</formula>
    </cfRule>
  </conditionalFormatting>
  <conditionalFormatting sqref="D80:K80">
    <cfRule type="cellIs" dxfId="450" priority="5" operator="lessThan">
      <formula>0.0001</formula>
    </cfRule>
  </conditionalFormatting>
  <conditionalFormatting sqref="D80:K80">
    <cfRule type="cellIs" priority="4" operator="lessThan">
      <formula>0.00001</formula>
    </cfRule>
  </conditionalFormatting>
  <conditionalFormatting sqref="D80:K80">
    <cfRule type="cellIs" dxfId="449" priority="3" operator="lessThan">
      <formula>0.00001</formula>
    </cfRule>
  </conditionalFormatting>
  <conditionalFormatting sqref="D80:K80">
    <cfRule type="cellIs" dxfId="448" priority="2" operator="lessThan">
      <formula>0.0001</formula>
    </cfRule>
  </conditionalFormatting>
  <conditionalFormatting sqref="D80:K80">
    <cfRule type="cellIs" priority="1" operator="lessThan">
      <formula>0.00001</formula>
    </cfRule>
  </conditionalFormatting>
  <dataValidations count="3">
    <dataValidation type="list" allowBlank="1" showInputMessage="1" showErrorMessage="1" sqref="D31 H31" xr:uid="{00000000-0002-0000-0500-000000000000}">
      <formula1>$B$143:$B$145</formula1>
    </dataValidation>
    <dataValidation type="list" allowBlank="1" showInputMessage="1" showErrorMessage="1" sqref="D37:K37" xr:uid="{00000000-0002-0000-0500-000001000000}">
      <formula1>$B$159:$B$160</formula1>
    </dataValidation>
    <dataValidation type="list" allowBlank="1" showInputMessage="1" showErrorMessage="1" sqref="D45:K45 D55:K55 D65:K65" xr:uid="{00000000-0002-0000-0500-000002000000}">
      <formula1>$B$151:$B$156</formula1>
    </dataValidation>
  </dataValidations>
  <hyperlinks>
    <hyperlink ref="L12" location="PPT" display="From Site Data" xr:uid="{00000000-0004-0000-0500-000000000000}"/>
    <hyperlink ref="L38" location="VELOCITY" display="See Shallow Flow Calculations" xr:uid="{00000000-0004-0000-0500-000001000000}"/>
    <hyperlink ref="L46" location="mannings_channel" display="See Channel Flow" xr:uid="{00000000-0004-0000-0500-000002000000}"/>
    <hyperlink ref="L38:L39" location="SHALLOW" display="See Shallow Flow Calculations" xr:uid="{00000000-0004-0000-0500-000003000000}"/>
    <hyperlink ref="L46:L49" location="CHANNEL" display="See Open Channel Flow" xr:uid="{00000000-0004-0000-0500-000004000000}"/>
    <hyperlink ref="L56" location="mannings_channel" display="See Channel Flow" xr:uid="{00000000-0004-0000-0500-000005000000}"/>
    <hyperlink ref="L56:L59" location="CHANNEL" display="See Open Channel Flow" xr:uid="{00000000-0004-0000-0500-000006000000}"/>
    <hyperlink ref="L66" location="mannings_channel" display="See Channel Flow" xr:uid="{00000000-0004-0000-0500-000007000000}"/>
    <hyperlink ref="L66:L69" location="CHANNEL" display="See Open Channel Flow" xr:uid="{00000000-0004-0000-0500-000008000000}"/>
    <hyperlink ref="L30:L33" location="SHEET" display="See Sheet Flow Calculations" xr:uid="{00000000-0004-0000-0500-000009000000}"/>
    <hyperlink ref="L74" location="WCN" display="See Weighted Curve Number" xr:uid="{00000000-0004-0000-0500-00000A000000}"/>
    <hyperlink ref="L70" location="Tc" display="See Tc" xr:uid="{00000000-0004-0000-0500-00000B000000}"/>
    <hyperlink ref="L16:L24" location="WCN" display="See Weighted Curve Number" xr:uid="{00000000-0004-0000-0500-00000C000000}"/>
    <hyperlink ref="L82" location="SCS" display="See SCS Runoff Method" xr:uid="{00000000-0004-0000-0500-00000D000000}"/>
    <hyperlink ref="L79" location="hd" display="See Discrete Runoff Method" xr:uid="{00000000-0004-0000-0500-00000E000000}"/>
    <hyperlink ref="L87" location="SCS" display="See SCS Runoff Method" xr:uid="{00000000-0004-0000-0500-00000F000000}"/>
    <hyperlink ref="L91" location="SCS" display="See SCS Runoff Method" xr:uid="{00000000-0004-0000-0500-000010000000}"/>
    <hyperlink ref="L85" location="PEAK" display="See Peak Flow Calculations" xr:uid="{00000000-0004-0000-0500-000011000000}"/>
    <hyperlink ref="L89" location="PEAK" display="See Peak Flow Calculations" xr:uid="{00000000-0004-0000-0500-000012000000}"/>
    <hyperlink ref="L76" location="Disconnected" display="See Disconnected Impervious Calculation" xr:uid="{00000000-0004-0000-0500-000013000000}"/>
    <hyperlink ref="B195:K196" location="'DA2'!A1" display="CLICK TO ADD ANOTHER DRAINAGE AREA" xr:uid="{00000000-0004-0000-0500-000014000000}"/>
    <hyperlink ref="B198:K199" location="'SITE SUMMARY'!A1" display="CONTINUE TO SITE SUMMARY" xr:uid="{00000000-0004-0000-0500-000015000000}"/>
    <hyperlink ref="L80" location="hd" display="See Discrete Runoff Method" xr:uid="{00000000-0004-0000-0500-000016000000}"/>
  </hyperlinks>
  <printOptions horizontalCentered="1"/>
  <pageMargins left="0.7" right="0.7" top="0.75" bottom="0.75" header="0.3" footer="0.3"/>
  <pageSetup scale="54" fitToHeight="2" orientation="portrait" copies="5" r:id="rId1"/>
  <headerFooter>
    <oddFooter>&amp;A&amp;RPage &amp;P</oddFooter>
  </headerFooter>
  <rowBreaks count="1" manualBreakCount="1">
    <brk id="49" min="1" max="10"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AA244"/>
  <sheetViews>
    <sheetView showRowColHeaders="0" zoomScale="85" zoomScaleNormal="85" workbookViewId="0">
      <selection activeCell="D70" sqref="D70:K70"/>
    </sheetView>
  </sheetViews>
  <sheetFormatPr defaultRowHeight="15" x14ac:dyDescent="0.2"/>
  <cols>
    <col min="1" max="1" width="3.77734375" style="507" customWidth="1"/>
    <col min="2" max="2" width="25.6640625" style="161" customWidth="1"/>
    <col min="3" max="3" width="17.33203125" style="161" customWidth="1"/>
    <col min="4" max="4" width="8.6640625" style="161" customWidth="1"/>
    <col min="5" max="7" width="8.6640625" style="223" customWidth="1"/>
    <col min="8" max="11" width="8.6640625" style="161" customWidth="1"/>
    <col min="12" max="12" width="37.109375" style="160" bestFit="1" customWidth="1"/>
    <col min="13" max="27" width="8.88671875" style="507"/>
    <col min="28" max="16384" width="8.88671875" style="161"/>
  </cols>
  <sheetData>
    <row r="1" spans="2:12" ht="16.5" thickBot="1" x14ac:dyDescent="0.3">
      <c r="B1" s="787" t="s">
        <v>31</v>
      </c>
      <c r="C1" s="787"/>
      <c r="D1" s="787"/>
      <c r="E1" s="788">
        <f>'SITE DATA'!F9</f>
        <v>0</v>
      </c>
      <c r="F1" s="789"/>
      <c r="G1" s="789"/>
      <c r="H1" s="789"/>
      <c r="I1" s="789"/>
      <c r="J1" s="789"/>
      <c r="K1" s="790"/>
    </row>
    <row r="2" spans="2:12" x14ac:dyDescent="0.2">
      <c r="B2" s="507"/>
      <c r="C2" s="507"/>
      <c r="D2" s="507"/>
      <c r="E2" s="160"/>
      <c r="F2" s="160"/>
      <c r="G2" s="160"/>
      <c r="H2" s="507"/>
      <c r="I2" s="507"/>
      <c r="J2" s="507"/>
      <c r="K2" s="507"/>
    </row>
    <row r="3" spans="2:12" ht="18" x14ac:dyDescent="0.25">
      <c r="B3" s="797" t="s">
        <v>399</v>
      </c>
      <c r="C3" s="797"/>
      <c r="D3" s="797"/>
      <c r="E3" s="797"/>
      <c r="F3" s="797"/>
      <c r="G3" s="797"/>
      <c r="H3" s="797"/>
      <c r="I3" s="797"/>
      <c r="J3" s="797"/>
      <c r="K3" s="797"/>
      <c r="L3" s="162"/>
    </row>
    <row r="4" spans="2:12" ht="18" x14ac:dyDescent="0.25">
      <c r="B4" s="797" t="s">
        <v>8</v>
      </c>
      <c r="C4" s="797"/>
      <c r="D4" s="797"/>
      <c r="E4" s="797"/>
      <c r="F4" s="797"/>
      <c r="G4" s="797"/>
      <c r="H4" s="797"/>
      <c r="I4" s="797"/>
      <c r="J4" s="797"/>
      <c r="K4" s="797"/>
      <c r="L4" s="162"/>
    </row>
    <row r="5" spans="2:12" x14ac:dyDescent="0.2">
      <c r="B5" s="507"/>
      <c r="C5" s="507"/>
      <c r="D5" s="507"/>
      <c r="E5" s="160"/>
      <c r="F5" s="160"/>
      <c r="G5" s="160"/>
      <c r="H5" s="507"/>
      <c r="I5" s="507"/>
      <c r="J5" s="507"/>
      <c r="K5" s="507"/>
    </row>
    <row r="6" spans="2:12" x14ac:dyDescent="0.2">
      <c r="B6" s="507"/>
      <c r="C6" s="507"/>
      <c r="D6" s="507"/>
      <c r="E6" s="160"/>
      <c r="F6" s="160"/>
      <c r="G6" s="160"/>
      <c r="H6" s="507"/>
      <c r="I6" s="507"/>
      <c r="J6" s="507"/>
      <c r="K6" s="507"/>
    </row>
    <row r="7" spans="2:12" ht="15.75" thickBot="1" x14ac:dyDescent="0.25">
      <c r="B7" s="507"/>
      <c r="C7" s="507"/>
      <c r="D7" s="507"/>
      <c r="E7" s="160"/>
      <c r="F7" s="160"/>
      <c r="G7" s="160"/>
      <c r="H7" s="507"/>
      <c r="I7" s="507"/>
      <c r="J7" s="507"/>
      <c r="K7" s="507"/>
    </row>
    <row r="8" spans="2:12" ht="24.95" customHeight="1" thickTop="1" thickBot="1" x14ac:dyDescent="0.3">
      <c r="B8" s="801" t="s">
        <v>263</v>
      </c>
      <c r="C8" s="802"/>
      <c r="D8" s="798" t="s">
        <v>9</v>
      </c>
      <c r="E8" s="798"/>
      <c r="F8" s="798"/>
      <c r="G8" s="798"/>
      <c r="H8" s="798" t="s">
        <v>30</v>
      </c>
      <c r="I8" s="798"/>
      <c r="J8" s="798"/>
      <c r="K8" s="798"/>
      <c r="L8" s="238" t="s">
        <v>319</v>
      </c>
    </row>
    <row r="9" spans="2:12" ht="24.95" customHeight="1" thickTop="1" x14ac:dyDescent="0.2">
      <c r="B9" s="754" t="s">
        <v>92</v>
      </c>
      <c r="C9" s="791"/>
      <c r="D9" s="799"/>
      <c r="E9" s="725"/>
      <c r="F9" s="725"/>
      <c r="G9" s="800"/>
      <c r="H9" s="774"/>
      <c r="I9" s="775"/>
      <c r="J9" s="775"/>
      <c r="K9" s="776"/>
      <c r="L9" s="163" t="s">
        <v>486</v>
      </c>
    </row>
    <row r="10" spans="2:12" ht="24.95" customHeight="1" x14ac:dyDescent="0.2">
      <c r="B10" s="754" t="s">
        <v>93</v>
      </c>
      <c r="C10" s="791"/>
      <c r="D10" s="799"/>
      <c r="E10" s="725"/>
      <c r="F10" s="725"/>
      <c r="G10" s="800"/>
      <c r="H10" s="799"/>
      <c r="I10" s="725"/>
      <c r="J10" s="725"/>
      <c r="K10" s="800"/>
      <c r="L10" s="163"/>
    </row>
    <row r="11" spans="2:12" ht="24.95" customHeight="1" x14ac:dyDescent="0.2">
      <c r="B11" s="754" t="s">
        <v>226</v>
      </c>
      <c r="C11" s="791"/>
      <c r="D11" s="803">
        <f>'SITE DATA'!$F$26</f>
        <v>0</v>
      </c>
      <c r="E11" s="683"/>
      <c r="F11" s="683"/>
      <c r="G11" s="683"/>
      <c r="H11" s="683"/>
      <c r="I11" s="683"/>
      <c r="J11" s="683"/>
      <c r="K11" s="804"/>
      <c r="L11" s="566"/>
    </row>
    <row r="12" spans="2:12" ht="24.95" customHeight="1" x14ac:dyDescent="0.2">
      <c r="B12" s="754" t="s">
        <v>329</v>
      </c>
      <c r="C12" s="791"/>
      <c r="D12" s="803">
        <f>'SITE DATA'!$F$27</f>
        <v>0</v>
      </c>
      <c r="E12" s="683"/>
      <c r="F12" s="683"/>
      <c r="G12" s="683"/>
      <c r="H12" s="683"/>
      <c r="I12" s="683"/>
      <c r="J12" s="683"/>
      <c r="K12" s="804"/>
      <c r="L12" s="566" t="s">
        <v>266</v>
      </c>
    </row>
    <row r="13" spans="2:12" ht="24.95" customHeight="1" x14ac:dyDescent="0.2">
      <c r="B13" s="754" t="s">
        <v>375</v>
      </c>
      <c r="C13" s="791"/>
      <c r="D13" s="803">
        <f>'SITE DATA'!$F$28</f>
        <v>0</v>
      </c>
      <c r="E13" s="683"/>
      <c r="F13" s="683"/>
      <c r="G13" s="683"/>
      <c r="H13" s="683"/>
      <c r="I13" s="683"/>
      <c r="J13" s="683"/>
      <c r="K13" s="804"/>
      <c r="L13" s="566"/>
    </row>
    <row r="14" spans="2:12" ht="24.95" customHeight="1" x14ac:dyDescent="0.2">
      <c r="B14" s="754" t="s">
        <v>307</v>
      </c>
      <c r="C14" s="791"/>
      <c r="D14" s="792"/>
      <c r="E14" s="793"/>
      <c r="F14" s="793"/>
      <c r="G14" s="793"/>
      <c r="H14" s="793"/>
      <c r="I14" s="793"/>
      <c r="J14" s="793"/>
      <c r="K14" s="793"/>
      <c r="L14" s="163"/>
    </row>
    <row r="15" spans="2:12" ht="24.95" customHeight="1" x14ac:dyDescent="0.2">
      <c r="B15" s="754" t="s">
        <v>306</v>
      </c>
      <c r="C15" s="791"/>
      <c r="D15" s="793"/>
      <c r="E15" s="793"/>
      <c r="F15" s="793"/>
      <c r="G15" s="793"/>
      <c r="H15" s="793"/>
      <c r="I15" s="793"/>
      <c r="J15" s="793"/>
      <c r="K15" s="793"/>
      <c r="L15" s="163"/>
    </row>
    <row r="16" spans="2:12" ht="24.95" customHeight="1" x14ac:dyDescent="0.2">
      <c r="B16" s="784" t="s">
        <v>487</v>
      </c>
      <c r="C16" s="785"/>
      <c r="D16" s="429" t="s">
        <v>15</v>
      </c>
      <c r="E16" s="430" t="s">
        <v>16</v>
      </c>
      <c r="F16" s="430" t="s">
        <v>18</v>
      </c>
      <c r="G16" s="431" t="s">
        <v>17</v>
      </c>
      <c r="H16" s="432" t="s">
        <v>15</v>
      </c>
      <c r="I16" s="430" t="s">
        <v>16</v>
      </c>
      <c r="J16" s="430" t="s">
        <v>18</v>
      </c>
      <c r="K16" s="431" t="s">
        <v>17</v>
      </c>
      <c r="L16" s="766" t="s">
        <v>177</v>
      </c>
    </row>
    <row r="17" spans="2:12" ht="24.95" customHeight="1" x14ac:dyDescent="0.2">
      <c r="B17" s="754" t="s">
        <v>12</v>
      </c>
      <c r="C17" s="791"/>
      <c r="D17" s="428"/>
      <c r="E17" s="416"/>
      <c r="F17" s="416"/>
      <c r="G17" s="427"/>
      <c r="H17" s="428"/>
      <c r="I17" s="416"/>
      <c r="J17" s="416"/>
      <c r="K17" s="427"/>
      <c r="L17" s="766"/>
    </row>
    <row r="18" spans="2:12" ht="24.95" customHeight="1" x14ac:dyDescent="0.2">
      <c r="B18" s="754" t="s">
        <v>253</v>
      </c>
      <c r="C18" s="791"/>
      <c r="D18" s="428"/>
      <c r="E18" s="416"/>
      <c r="F18" s="416"/>
      <c r="G18" s="427"/>
      <c r="H18" s="428"/>
      <c r="I18" s="416"/>
      <c r="J18" s="416"/>
      <c r="K18" s="427"/>
      <c r="L18" s="766"/>
    </row>
    <row r="19" spans="2:12" ht="24.95" customHeight="1" x14ac:dyDescent="0.2">
      <c r="B19" s="754" t="s">
        <v>260</v>
      </c>
      <c r="C19" s="791"/>
      <c r="D19" s="428"/>
      <c r="E19" s="416"/>
      <c r="F19" s="416"/>
      <c r="G19" s="427"/>
      <c r="H19" s="428"/>
      <c r="I19" s="416"/>
      <c r="J19" s="416"/>
      <c r="K19" s="427"/>
      <c r="L19" s="766"/>
    </row>
    <row r="20" spans="2:12" ht="24.95" customHeight="1" x14ac:dyDescent="0.2">
      <c r="B20" s="754" t="s">
        <v>259</v>
      </c>
      <c r="C20" s="791"/>
      <c r="D20" s="428"/>
      <c r="E20" s="416"/>
      <c r="F20" s="416"/>
      <c r="G20" s="427"/>
      <c r="H20" s="428"/>
      <c r="I20" s="416"/>
      <c r="J20" s="416"/>
      <c r="K20" s="427"/>
      <c r="L20" s="766"/>
    </row>
    <row r="21" spans="2:12" ht="24.95" customHeight="1" x14ac:dyDescent="0.2">
      <c r="B21" s="754" t="s">
        <v>255</v>
      </c>
      <c r="C21" s="791"/>
      <c r="D21" s="428"/>
      <c r="E21" s="416"/>
      <c r="F21" s="416"/>
      <c r="G21" s="427"/>
      <c r="H21" s="428"/>
      <c r="I21" s="416"/>
      <c r="J21" s="416"/>
      <c r="K21" s="427"/>
      <c r="L21" s="766"/>
    </row>
    <row r="22" spans="2:12" ht="24.95" customHeight="1" x14ac:dyDescent="0.2">
      <c r="B22" s="754" t="s">
        <v>262</v>
      </c>
      <c r="C22" s="791"/>
      <c r="D22" s="428"/>
      <c r="E22" s="416"/>
      <c r="F22" s="416"/>
      <c r="G22" s="427"/>
      <c r="H22" s="428"/>
      <c r="I22" s="416"/>
      <c r="J22" s="416"/>
      <c r="K22" s="427"/>
      <c r="L22" s="766"/>
    </row>
    <row r="23" spans="2:12" ht="24.95" customHeight="1" x14ac:dyDescent="0.2">
      <c r="B23" s="754" t="s">
        <v>261</v>
      </c>
      <c r="C23" s="791"/>
      <c r="D23" s="428"/>
      <c r="E23" s="416"/>
      <c r="F23" s="416"/>
      <c r="G23" s="427"/>
      <c r="H23" s="428"/>
      <c r="I23" s="416"/>
      <c r="J23" s="416"/>
      <c r="K23" s="427"/>
      <c r="L23" s="766"/>
    </row>
    <row r="24" spans="2:12" ht="24.95" customHeight="1" x14ac:dyDescent="0.2">
      <c r="B24" s="754" t="s">
        <v>245</v>
      </c>
      <c r="C24" s="791"/>
      <c r="D24" s="428"/>
      <c r="E24" s="416"/>
      <c r="F24" s="416"/>
      <c r="G24" s="427"/>
      <c r="H24" s="428"/>
      <c r="I24" s="416"/>
      <c r="J24" s="416"/>
      <c r="K24" s="427"/>
      <c r="L24" s="766"/>
    </row>
    <row r="25" spans="2:12" ht="24.95" customHeight="1" x14ac:dyDescent="0.25">
      <c r="B25" s="754" t="s">
        <v>369</v>
      </c>
      <c r="C25" s="791"/>
      <c r="D25" s="428"/>
      <c r="E25" s="416"/>
      <c r="F25" s="416"/>
      <c r="G25" s="427"/>
      <c r="H25" s="428"/>
      <c r="I25" s="416"/>
      <c r="J25" s="416"/>
      <c r="K25" s="427"/>
      <c r="L25" s="417"/>
    </row>
    <row r="26" spans="2:12" ht="24.95" customHeight="1" thickBot="1" x14ac:dyDescent="0.3">
      <c r="B26" s="830" t="s">
        <v>368</v>
      </c>
      <c r="C26" s="831"/>
      <c r="D26" s="433"/>
      <c r="E26" s="434"/>
      <c r="F26" s="434"/>
      <c r="G26" s="435"/>
      <c r="H26" s="433"/>
      <c r="I26" s="434"/>
      <c r="J26" s="434"/>
      <c r="K26" s="435"/>
      <c r="L26" s="417" t="str">
        <f>IF(OR(SUM($H$17:$K$26)&gt;$H$10,SUM($H$17:$K$26)&lt;$H$10),"LAND USE MUST MATCH SITE ACREAGE","")</f>
        <v/>
      </c>
    </row>
    <row r="27" spans="2:12" ht="24.95" customHeight="1" thickTop="1" thickBot="1" x14ac:dyDescent="0.25">
      <c r="B27" s="443" t="s">
        <v>264</v>
      </c>
      <c r="C27" s="444"/>
      <c r="D27" s="805" t="s">
        <v>56</v>
      </c>
      <c r="E27" s="805"/>
      <c r="F27" s="805"/>
      <c r="G27" s="805"/>
      <c r="H27" s="805" t="s">
        <v>57</v>
      </c>
      <c r="I27" s="805"/>
      <c r="J27" s="805"/>
      <c r="K27" s="805"/>
      <c r="L27" s="418"/>
    </row>
    <row r="28" spans="2:12" ht="24.95" customHeight="1" thickTop="1" x14ac:dyDescent="0.2">
      <c r="B28" s="795" t="s">
        <v>404</v>
      </c>
      <c r="C28" s="796"/>
      <c r="D28" s="794"/>
      <c r="E28" s="794"/>
      <c r="F28" s="794"/>
      <c r="G28" s="794"/>
      <c r="H28" s="794"/>
      <c r="I28" s="794"/>
      <c r="J28" s="794"/>
      <c r="K28" s="794"/>
      <c r="L28" s="736"/>
    </row>
    <row r="29" spans="2:12" ht="24.95" customHeight="1" x14ac:dyDescent="0.2">
      <c r="B29" s="770" t="s">
        <v>87</v>
      </c>
      <c r="C29" s="771"/>
      <c r="D29" s="774"/>
      <c r="E29" s="775"/>
      <c r="F29" s="775"/>
      <c r="G29" s="776"/>
      <c r="H29" s="774"/>
      <c r="I29" s="775"/>
      <c r="J29" s="775"/>
      <c r="K29" s="776"/>
      <c r="L29" s="736"/>
    </row>
    <row r="30" spans="2:12" ht="24.95" customHeight="1" x14ac:dyDescent="0.2">
      <c r="B30" s="770" t="s">
        <v>88</v>
      </c>
      <c r="C30" s="771"/>
      <c r="D30" s="777"/>
      <c r="E30" s="778"/>
      <c r="F30" s="778"/>
      <c r="G30" s="779"/>
      <c r="H30" s="777"/>
      <c r="I30" s="778"/>
      <c r="J30" s="778"/>
      <c r="K30" s="779"/>
      <c r="L30" s="766" t="s">
        <v>95</v>
      </c>
    </row>
    <row r="31" spans="2:12" ht="24.95" customHeight="1" x14ac:dyDescent="0.2">
      <c r="B31" s="770" t="s">
        <v>60</v>
      </c>
      <c r="C31" s="771"/>
      <c r="D31" s="774"/>
      <c r="E31" s="775"/>
      <c r="F31" s="775"/>
      <c r="G31" s="776"/>
      <c r="H31" s="774"/>
      <c r="I31" s="775"/>
      <c r="J31" s="775"/>
      <c r="K31" s="776"/>
      <c r="L31" s="766"/>
    </row>
    <row r="32" spans="2:12" ht="24.95" customHeight="1" x14ac:dyDescent="0.2">
      <c r="B32" s="781" t="s">
        <v>86</v>
      </c>
      <c r="C32" s="782"/>
      <c r="D32" s="769" t="str">
        <f>IF(D31=$B$143,$G$143,IF(D31=$B$144,$G$144,IF(D31=$B$145,$G$145,"")))</f>
        <v/>
      </c>
      <c r="E32" s="769"/>
      <c r="F32" s="769"/>
      <c r="G32" s="769"/>
      <c r="H32" s="769" t="str">
        <f>IF(H31=$B$143,$G$143,IF(H31=$B$144,$G$144,IF(H31=$B$145,$G$145,"")))</f>
        <v/>
      </c>
      <c r="I32" s="769"/>
      <c r="J32" s="769"/>
      <c r="K32" s="769"/>
      <c r="L32" s="766"/>
    </row>
    <row r="33" spans="2:12" ht="24.95" customHeight="1" x14ac:dyDescent="0.2">
      <c r="B33" s="770" t="s">
        <v>89</v>
      </c>
      <c r="C33" s="780"/>
      <c r="D33" s="769">
        <f>IF(D29&gt;0,(0.007*(D32*D29)^0.8)/(($D$11^0.5)*(D30^0.4)),0)</f>
        <v>0</v>
      </c>
      <c r="E33" s="769"/>
      <c r="F33" s="769"/>
      <c r="G33" s="769"/>
      <c r="H33" s="769">
        <f>IF(H29&gt;0,(0.007*(H32*H29)^0.8)/(($D$11^0.5)*(H30^0.4)),0)</f>
        <v>0</v>
      </c>
      <c r="I33" s="769"/>
      <c r="J33" s="769"/>
      <c r="K33" s="769"/>
      <c r="L33" s="766"/>
    </row>
    <row r="34" spans="2:12" ht="24.95" customHeight="1" x14ac:dyDescent="0.2">
      <c r="B34" s="795" t="s">
        <v>405</v>
      </c>
      <c r="C34" s="796"/>
      <c r="D34" s="570"/>
      <c r="E34" s="570"/>
      <c r="F34" s="570"/>
      <c r="G34" s="570"/>
      <c r="H34" s="570"/>
      <c r="I34" s="570"/>
      <c r="J34" s="570"/>
      <c r="K34" s="571"/>
      <c r="L34" s="419"/>
    </row>
    <row r="35" spans="2:12" ht="24.95" customHeight="1" x14ac:dyDescent="0.2">
      <c r="B35" s="770" t="s">
        <v>87</v>
      </c>
      <c r="C35" s="771"/>
      <c r="D35" s="774"/>
      <c r="E35" s="775"/>
      <c r="F35" s="775"/>
      <c r="G35" s="776"/>
      <c r="H35" s="774"/>
      <c r="I35" s="775"/>
      <c r="J35" s="775"/>
      <c r="K35" s="776"/>
      <c r="L35" s="163"/>
    </row>
    <row r="36" spans="2:12" ht="24.95" customHeight="1" x14ac:dyDescent="0.2">
      <c r="B36" s="770" t="s">
        <v>88</v>
      </c>
      <c r="C36" s="771"/>
      <c r="D36" s="777"/>
      <c r="E36" s="778"/>
      <c r="F36" s="778"/>
      <c r="G36" s="779"/>
      <c r="H36" s="777"/>
      <c r="I36" s="778"/>
      <c r="J36" s="778"/>
      <c r="K36" s="779"/>
      <c r="L36" s="163"/>
    </row>
    <row r="37" spans="2:12" ht="24.95" customHeight="1" x14ac:dyDescent="0.2">
      <c r="B37" s="770" t="s">
        <v>60</v>
      </c>
      <c r="C37" s="771"/>
      <c r="D37" s="774"/>
      <c r="E37" s="775"/>
      <c r="F37" s="775"/>
      <c r="G37" s="776"/>
      <c r="H37" s="774"/>
      <c r="I37" s="775"/>
      <c r="J37" s="775"/>
      <c r="K37" s="776"/>
      <c r="L37" s="163"/>
    </row>
    <row r="38" spans="2:12" ht="24.95" customHeight="1" x14ac:dyDescent="0.2">
      <c r="B38" s="781" t="s">
        <v>96</v>
      </c>
      <c r="C38" s="782"/>
      <c r="D38" s="783">
        <f>IF(D37="Unpaved",16.1345*D36^0.5,IF(D37="Paved",20.32828*D36^0.5,0))</f>
        <v>0</v>
      </c>
      <c r="E38" s="783"/>
      <c r="F38" s="783"/>
      <c r="G38" s="783"/>
      <c r="H38" s="783">
        <f>IF(H37="Unpaved",16.1345*H36^0.5,IF(H37="Paved",20.32828*H36^0.5,0))</f>
        <v>0</v>
      </c>
      <c r="I38" s="783"/>
      <c r="J38" s="783"/>
      <c r="K38" s="783"/>
      <c r="L38" s="766" t="s">
        <v>131</v>
      </c>
    </row>
    <row r="39" spans="2:12" ht="24.95" customHeight="1" x14ac:dyDescent="0.2">
      <c r="B39" s="770" t="s">
        <v>89</v>
      </c>
      <c r="C39" s="780"/>
      <c r="D39" s="783">
        <f>IF(D38&gt;0,D35/(3600*D38),0)</f>
        <v>0</v>
      </c>
      <c r="E39" s="783"/>
      <c r="F39" s="783"/>
      <c r="G39" s="783"/>
      <c r="H39" s="783">
        <f>IF(H38&gt;0,H35/(3600*H38),0)</f>
        <v>0</v>
      </c>
      <c r="I39" s="783"/>
      <c r="J39" s="783"/>
      <c r="K39" s="783"/>
      <c r="L39" s="766"/>
    </row>
    <row r="40" spans="2:12" ht="24.95" customHeight="1" x14ac:dyDescent="0.2">
      <c r="B40" s="784" t="s">
        <v>406</v>
      </c>
      <c r="C40" s="785"/>
      <c r="D40" s="772"/>
      <c r="E40" s="772"/>
      <c r="F40" s="772"/>
      <c r="G40" s="772"/>
      <c r="H40" s="772"/>
      <c r="I40" s="772"/>
      <c r="J40" s="772"/>
      <c r="K40" s="773"/>
      <c r="L40" s="163"/>
    </row>
    <row r="41" spans="2:12" ht="24.95" customHeight="1" x14ac:dyDescent="0.2">
      <c r="B41" s="770" t="s">
        <v>87</v>
      </c>
      <c r="C41" s="771"/>
      <c r="D41" s="739"/>
      <c r="E41" s="739"/>
      <c r="F41" s="739"/>
      <c r="G41" s="739"/>
      <c r="H41" s="774"/>
      <c r="I41" s="775"/>
      <c r="J41" s="775"/>
      <c r="K41" s="776"/>
      <c r="L41" s="163"/>
    </row>
    <row r="42" spans="2:12" ht="24.95" customHeight="1" x14ac:dyDescent="0.2">
      <c r="B42" s="770" t="s">
        <v>88</v>
      </c>
      <c r="C42" s="771"/>
      <c r="D42" s="786"/>
      <c r="E42" s="786"/>
      <c r="F42" s="786"/>
      <c r="G42" s="786"/>
      <c r="H42" s="777"/>
      <c r="I42" s="778"/>
      <c r="J42" s="778"/>
      <c r="K42" s="779"/>
      <c r="L42" s="163"/>
    </row>
    <row r="43" spans="2:12" ht="24.95" customHeight="1" x14ac:dyDescent="0.2">
      <c r="B43" s="770" t="s">
        <v>108</v>
      </c>
      <c r="C43" s="771"/>
      <c r="D43" s="739"/>
      <c r="E43" s="739"/>
      <c r="F43" s="739"/>
      <c r="G43" s="739"/>
      <c r="H43" s="774"/>
      <c r="I43" s="775"/>
      <c r="J43" s="775"/>
      <c r="K43" s="776"/>
      <c r="L43" s="163"/>
    </row>
    <row r="44" spans="2:12" ht="24.95" customHeight="1" x14ac:dyDescent="0.2">
      <c r="B44" s="767" t="s">
        <v>90</v>
      </c>
      <c r="C44" s="768"/>
      <c r="D44" s="739"/>
      <c r="E44" s="739"/>
      <c r="F44" s="739"/>
      <c r="G44" s="739"/>
      <c r="H44" s="774"/>
      <c r="I44" s="775"/>
      <c r="J44" s="775"/>
      <c r="K44" s="776"/>
      <c r="L44" s="163"/>
    </row>
    <row r="45" spans="2:12" ht="24.95" customHeight="1" x14ac:dyDescent="0.2">
      <c r="B45" s="770" t="s">
        <v>116</v>
      </c>
      <c r="C45" s="771"/>
      <c r="D45" s="739"/>
      <c r="E45" s="739"/>
      <c r="F45" s="739"/>
      <c r="G45" s="739"/>
      <c r="H45" s="774"/>
      <c r="I45" s="775"/>
      <c r="J45" s="775"/>
      <c r="K45" s="776"/>
      <c r="L45" s="163"/>
    </row>
    <row r="46" spans="2:12" ht="24.95" customHeight="1" x14ac:dyDescent="0.2">
      <c r="B46" s="781" t="s">
        <v>86</v>
      </c>
      <c r="C46" s="782"/>
      <c r="D46" s="769" t="str">
        <f>IF(D45="Asphalt",$G$151,IF(D45="Concrete, finished",$G$152,IF(D45="Concrete, unfinished",$G$153,IF(D45="Grass",$G$154,IF(D45="Gravel Bottom/riprap sides",$G$155,IF(D45="Weeds",$G$156,""))))))</f>
        <v/>
      </c>
      <c r="E46" s="769"/>
      <c r="F46" s="769"/>
      <c r="G46" s="769"/>
      <c r="H46" s="769" t="str">
        <f>IF(H45="Asphalt",$G$151,IF(H45="Concrete, finished",$G$152,IF(H45="Concrete, unfinished",$G$153,IF(H45="Grass",$G$154,IF(H45="Gravel Bottom/riprap sides",$G$155,IF(H45="Weeds",$G$156,""))))))</f>
        <v/>
      </c>
      <c r="I46" s="769"/>
      <c r="J46" s="769"/>
      <c r="K46" s="769"/>
      <c r="L46" s="766" t="s">
        <v>174</v>
      </c>
    </row>
    <row r="47" spans="2:12" ht="24.95" customHeight="1" x14ac:dyDescent="0.2">
      <c r="B47" s="781" t="s">
        <v>109</v>
      </c>
      <c r="C47" s="782"/>
      <c r="D47" s="783">
        <f>IF(ISERROR(D43/D44),0,D43/D44)</f>
        <v>0</v>
      </c>
      <c r="E47" s="783"/>
      <c r="F47" s="783"/>
      <c r="G47" s="783"/>
      <c r="H47" s="783">
        <f>IF(ISERROR(H43/H44),0,H43/H44)</f>
        <v>0</v>
      </c>
      <c r="I47" s="783"/>
      <c r="J47" s="783"/>
      <c r="K47" s="783"/>
      <c r="L47" s="766"/>
    </row>
    <row r="48" spans="2:12" ht="24.95" customHeight="1" x14ac:dyDescent="0.2">
      <c r="B48" s="781" t="s">
        <v>96</v>
      </c>
      <c r="C48" s="782"/>
      <c r="D48" s="783">
        <f>IF(D44&gt;0,(1.49*(D47^(2/3))*(D42^0.5))/D46,0)</f>
        <v>0</v>
      </c>
      <c r="E48" s="783"/>
      <c r="F48" s="783"/>
      <c r="G48" s="783"/>
      <c r="H48" s="783">
        <f>IF(H44&gt;0,(1.49*(H47^(2/3))*(H42^0.5))/H46,0)</f>
        <v>0</v>
      </c>
      <c r="I48" s="783"/>
      <c r="J48" s="783"/>
      <c r="K48" s="783"/>
      <c r="L48" s="766"/>
    </row>
    <row r="49" spans="2:12" ht="24.95" customHeight="1" x14ac:dyDescent="0.2">
      <c r="B49" s="770" t="s">
        <v>89</v>
      </c>
      <c r="C49" s="780"/>
      <c r="D49" s="783">
        <f>IF(D44&gt;0,D41/(3600*D48),0)</f>
        <v>0</v>
      </c>
      <c r="E49" s="783"/>
      <c r="F49" s="783"/>
      <c r="G49" s="783"/>
      <c r="H49" s="783">
        <f>IF(H44&gt;0,H41/(3600*H48),0)</f>
        <v>0</v>
      </c>
      <c r="I49" s="783"/>
      <c r="J49" s="783"/>
      <c r="K49" s="783"/>
      <c r="L49" s="766"/>
    </row>
    <row r="50" spans="2:12" ht="24.95" customHeight="1" x14ac:dyDescent="0.2">
      <c r="B50" s="784" t="s">
        <v>407</v>
      </c>
      <c r="C50" s="785"/>
      <c r="D50" s="772"/>
      <c r="E50" s="772"/>
      <c r="F50" s="772"/>
      <c r="G50" s="772"/>
      <c r="H50" s="772"/>
      <c r="I50" s="772"/>
      <c r="J50" s="772"/>
      <c r="K50" s="773"/>
      <c r="L50" s="163"/>
    </row>
    <row r="51" spans="2:12" ht="24.95" customHeight="1" x14ac:dyDescent="0.2">
      <c r="B51" s="770" t="s">
        <v>87</v>
      </c>
      <c r="C51" s="771"/>
      <c r="D51" s="739"/>
      <c r="E51" s="739"/>
      <c r="F51" s="739"/>
      <c r="G51" s="739"/>
      <c r="H51" s="739"/>
      <c r="I51" s="739"/>
      <c r="J51" s="739"/>
      <c r="K51" s="739"/>
      <c r="L51" s="163"/>
    </row>
    <row r="52" spans="2:12" ht="24.95" customHeight="1" x14ac:dyDescent="0.2">
      <c r="B52" s="770" t="s">
        <v>88</v>
      </c>
      <c r="C52" s="771"/>
      <c r="D52" s="786"/>
      <c r="E52" s="786"/>
      <c r="F52" s="786"/>
      <c r="G52" s="786"/>
      <c r="H52" s="786"/>
      <c r="I52" s="786"/>
      <c r="J52" s="786"/>
      <c r="K52" s="786"/>
      <c r="L52" s="163"/>
    </row>
    <row r="53" spans="2:12" ht="24.95" customHeight="1" x14ac:dyDescent="0.2">
      <c r="B53" s="770" t="s">
        <v>108</v>
      </c>
      <c r="C53" s="771"/>
      <c r="D53" s="739"/>
      <c r="E53" s="739"/>
      <c r="F53" s="739"/>
      <c r="G53" s="739"/>
      <c r="H53" s="739"/>
      <c r="I53" s="739"/>
      <c r="J53" s="739"/>
      <c r="K53" s="739"/>
      <c r="L53" s="163"/>
    </row>
    <row r="54" spans="2:12" ht="24.95" customHeight="1" x14ac:dyDescent="0.2">
      <c r="B54" s="767" t="s">
        <v>90</v>
      </c>
      <c r="C54" s="768"/>
      <c r="D54" s="739"/>
      <c r="E54" s="739"/>
      <c r="F54" s="739"/>
      <c r="G54" s="739"/>
      <c r="H54" s="739"/>
      <c r="I54" s="739"/>
      <c r="J54" s="739"/>
      <c r="K54" s="739"/>
      <c r="L54" s="163"/>
    </row>
    <row r="55" spans="2:12" ht="24.95" customHeight="1" x14ac:dyDescent="0.2">
      <c r="B55" s="770" t="s">
        <v>116</v>
      </c>
      <c r="C55" s="771"/>
      <c r="D55" s="739"/>
      <c r="E55" s="739"/>
      <c r="F55" s="739"/>
      <c r="G55" s="739"/>
      <c r="H55" s="739"/>
      <c r="I55" s="739"/>
      <c r="J55" s="739"/>
      <c r="K55" s="739"/>
      <c r="L55" s="163"/>
    </row>
    <row r="56" spans="2:12" ht="24.95" customHeight="1" x14ac:dyDescent="0.2">
      <c r="B56" s="781" t="s">
        <v>86</v>
      </c>
      <c r="C56" s="782"/>
      <c r="D56" s="769" t="str">
        <f>IF(D55="Asphalt",$G$151,IF(D55="Concrete, finished",$G$152,IF(D55="Concrete, unfinished",$G$153,IF(D55="Grass",$G$154,IF(D55="Gravel Bottom/riprap sides",$G$155,IF(D55="Weeds",$G$156,""))))))</f>
        <v/>
      </c>
      <c r="E56" s="769"/>
      <c r="F56" s="769"/>
      <c r="G56" s="769"/>
      <c r="H56" s="769" t="str">
        <f>IF(H55="Asphalt",$G$151,IF(H55="Concrete, finished",$G$152,IF(H55="Concrete, unfinished",$G$153,IF(H55="Grass",$G$154,IF(H55="Gravel Bottom/riprap sides",$G$155,IF(H55="Weeds",$G$156,""))))))</f>
        <v/>
      </c>
      <c r="I56" s="769"/>
      <c r="J56" s="769"/>
      <c r="K56" s="769"/>
      <c r="L56" s="766" t="s">
        <v>174</v>
      </c>
    </row>
    <row r="57" spans="2:12" ht="24.95" customHeight="1" x14ac:dyDescent="0.2">
      <c r="B57" s="781" t="s">
        <v>109</v>
      </c>
      <c r="C57" s="782"/>
      <c r="D57" s="783">
        <f>IF(ISERROR(D53/D54),0,D53/D54)</f>
        <v>0</v>
      </c>
      <c r="E57" s="783"/>
      <c r="F57" s="783"/>
      <c r="G57" s="783"/>
      <c r="H57" s="783">
        <f>IF(ISERROR(H53/H54),0,H53/H54)</f>
        <v>0</v>
      </c>
      <c r="I57" s="783"/>
      <c r="J57" s="783"/>
      <c r="K57" s="783"/>
      <c r="L57" s="766"/>
    </row>
    <row r="58" spans="2:12" ht="24.95" customHeight="1" x14ac:dyDescent="0.2">
      <c r="B58" s="781" t="s">
        <v>96</v>
      </c>
      <c r="C58" s="782"/>
      <c r="D58" s="783">
        <f>IF(D54&gt;0,(1.49*(D57^(2/3))*(D52^0.5))/D56,0)</f>
        <v>0</v>
      </c>
      <c r="E58" s="783"/>
      <c r="F58" s="783"/>
      <c r="G58" s="783"/>
      <c r="H58" s="783">
        <f>IF(H54&gt;0,(1.49*(H57^(2/3))*(H52^0.5))/H56,0)</f>
        <v>0</v>
      </c>
      <c r="I58" s="783"/>
      <c r="J58" s="783"/>
      <c r="K58" s="783"/>
      <c r="L58" s="766"/>
    </row>
    <row r="59" spans="2:12" ht="24.95" customHeight="1" x14ac:dyDescent="0.2">
      <c r="B59" s="770" t="s">
        <v>89</v>
      </c>
      <c r="C59" s="780"/>
      <c r="D59" s="783">
        <f>IF(D54&gt;0,D51/(3600*D58),0)</f>
        <v>0</v>
      </c>
      <c r="E59" s="783"/>
      <c r="F59" s="783"/>
      <c r="G59" s="783"/>
      <c r="H59" s="783">
        <f>IF(H54&gt;0,H51/(3600*H58),0)</f>
        <v>0</v>
      </c>
      <c r="I59" s="783"/>
      <c r="J59" s="783"/>
      <c r="K59" s="783"/>
      <c r="L59" s="766"/>
    </row>
    <row r="60" spans="2:12" ht="24.95" customHeight="1" x14ac:dyDescent="0.2">
      <c r="B60" s="784" t="s">
        <v>408</v>
      </c>
      <c r="C60" s="785"/>
      <c r="D60" s="772"/>
      <c r="E60" s="772"/>
      <c r="F60" s="772"/>
      <c r="G60" s="772"/>
      <c r="H60" s="772"/>
      <c r="I60" s="772"/>
      <c r="J60" s="772"/>
      <c r="K60" s="773"/>
      <c r="L60" s="163"/>
    </row>
    <row r="61" spans="2:12" ht="24.95" customHeight="1" x14ac:dyDescent="0.2">
      <c r="B61" s="770" t="s">
        <v>87</v>
      </c>
      <c r="C61" s="771"/>
      <c r="D61" s="739"/>
      <c r="E61" s="739"/>
      <c r="F61" s="739"/>
      <c r="G61" s="739"/>
      <c r="H61" s="739"/>
      <c r="I61" s="739"/>
      <c r="J61" s="739"/>
      <c r="K61" s="739"/>
      <c r="L61" s="163"/>
    </row>
    <row r="62" spans="2:12" ht="24.95" customHeight="1" x14ac:dyDescent="0.2">
      <c r="B62" s="770" t="s">
        <v>88</v>
      </c>
      <c r="C62" s="771"/>
      <c r="D62" s="786"/>
      <c r="E62" s="786"/>
      <c r="F62" s="786"/>
      <c r="G62" s="786"/>
      <c r="H62" s="786"/>
      <c r="I62" s="786"/>
      <c r="J62" s="786"/>
      <c r="K62" s="786"/>
      <c r="L62" s="163"/>
    </row>
    <row r="63" spans="2:12" ht="24.95" customHeight="1" x14ac:dyDescent="0.2">
      <c r="B63" s="770" t="s">
        <v>108</v>
      </c>
      <c r="C63" s="771"/>
      <c r="D63" s="739"/>
      <c r="E63" s="739"/>
      <c r="F63" s="739"/>
      <c r="G63" s="739"/>
      <c r="H63" s="739"/>
      <c r="I63" s="739"/>
      <c r="J63" s="739"/>
      <c r="K63" s="739"/>
      <c r="L63" s="163"/>
    </row>
    <row r="64" spans="2:12" ht="24.95" customHeight="1" x14ac:dyDescent="0.2">
      <c r="B64" s="821" t="s">
        <v>90</v>
      </c>
      <c r="C64" s="822"/>
      <c r="D64" s="739"/>
      <c r="E64" s="739"/>
      <c r="F64" s="739"/>
      <c r="G64" s="739"/>
      <c r="H64" s="739"/>
      <c r="I64" s="739"/>
      <c r="J64" s="739"/>
      <c r="K64" s="739"/>
      <c r="L64" s="163"/>
    </row>
    <row r="65" spans="1:27" ht="24.95" customHeight="1" x14ac:dyDescent="0.2">
      <c r="B65" s="770" t="s">
        <v>116</v>
      </c>
      <c r="C65" s="771"/>
      <c r="D65" s="739"/>
      <c r="E65" s="739"/>
      <c r="F65" s="739"/>
      <c r="G65" s="739"/>
      <c r="H65" s="739"/>
      <c r="I65" s="739"/>
      <c r="J65" s="739"/>
      <c r="K65" s="739"/>
      <c r="L65" s="163"/>
    </row>
    <row r="66" spans="1:27" ht="24.95" customHeight="1" x14ac:dyDescent="0.2">
      <c r="B66" s="781" t="s">
        <v>86</v>
      </c>
      <c r="C66" s="782"/>
      <c r="D66" s="769" t="str">
        <f>IF(D65="Asphalt",$G$151,IF(D65="Concrete, finished",$G$152,IF(D65="Concrete, unfinished",$G$153,IF(D65="Grass",$G$154,IF(D65="Gravel Bottom/riprap sides",$G$155,IF(D65="Weeds",$G$156,""))))))</f>
        <v/>
      </c>
      <c r="E66" s="769"/>
      <c r="F66" s="769"/>
      <c r="G66" s="769"/>
      <c r="H66" s="769" t="str">
        <f>IF(H65="Asphalt",$G$151,IF(H65="Concrete, finished",$G$152,IF(H65="Concrete, unfinished",$G$153,IF(H65="Grass",$G$154,IF(H65="Gravel Bottom/riprap sides",$G$155,IF(H65="Weeds",$G$156,""))))))</f>
        <v/>
      </c>
      <c r="I66" s="769"/>
      <c r="J66" s="769"/>
      <c r="K66" s="769"/>
      <c r="L66" s="766" t="s">
        <v>174</v>
      </c>
    </row>
    <row r="67" spans="1:27" ht="24.95" customHeight="1" x14ac:dyDescent="0.2">
      <c r="B67" s="781" t="s">
        <v>109</v>
      </c>
      <c r="C67" s="782"/>
      <c r="D67" s="783">
        <f>IF(ISERROR(D63/D64),0,D63/D64)</f>
        <v>0</v>
      </c>
      <c r="E67" s="783"/>
      <c r="F67" s="783"/>
      <c r="G67" s="783"/>
      <c r="H67" s="783">
        <f>IF(ISERROR(H63/H64),0,H63/H64)</f>
        <v>0</v>
      </c>
      <c r="I67" s="783"/>
      <c r="J67" s="783"/>
      <c r="K67" s="783"/>
      <c r="L67" s="766"/>
    </row>
    <row r="68" spans="1:27" ht="24.95" customHeight="1" x14ac:dyDescent="0.2">
      <c r="B68" s="781" t="s">
        <v>96</v>
      </c>
      <c r="C68" s="782"/>
      <c r="D68" s="783">
        <f>IF(D64&gt;0,(1.49*(D67^(2/3))*(D62^0.5))/D66,0)</f>
        <v>0</v>
      </c>
      <c r="E68" s="783"/>
      <c r="F68" s="783"/>
      <c r="G68" s="783"/>
      <c r="H68" s="783">
        <f>IF(H64&gt;0,(1.49*(H67^(2/3))*(H62^0.5))/H66,0)</f>
        <v>0</v>
      </c>
      <c r="I68" s="783"/>
      <c r="J68" s="783"/>
      <c r="K68" s="783"/>
      <c r="L68" s="766"/>
    </row>
    <row r="69" spans="1:27" ht="24.95" customHeight="1" x14ac:dyDescent="0.2">
      <c r="B69" s="770" t="s">
        <v>89</v>
      </c>
      <c r="C69" s="780"/>
      <c r="D69" s="783">
        <f>IF(D64&gt;0,D61/(3600*D68),0)</f>
        <v>0</v>
      </c>
      <c r="E69" s="783"/>
      <c r="F69" s="783"/>
      <c r="G69" s="783"/>
      <c r="H69" s="783">
        <f>IF(H64&gt;0,H61/(3600*H68),0)</f>
        <v>0</v>
      </c>
      <c r="I69" s="783"/>
      <c r="J69" s="783"/>
      <c r="K69" s="783"/>
      <c r="L69" s="766"/>
    </row>
    <row r="70" spans="1:27" ht="24.95" customHeight="1" thickBot="1" x14ac:dyDescent="0.25">
      <c r="B70" s="819" t="s">
        <v>125</v>
      </c>
      <c r="C70" s="820"/>
      <c r="D70" s="739">
        <f>D69+D59+D49+D39+D33</f>
        <v>0</v>
      </c>
      <c r="E70" s="739"/>
      <c r="F70" s="739"/>
      <c r="G70" s="739"/>
      <c r="H70" s="739">
        <f>H69+H59+H49+H39+H33</f>
        <v>0</v>
      </c>
      <c r="I70" s="739"/>
      <c r="J70" s="739"/>
      <c r="K70" s="739"/>
      <c r="L70" s="566" t="s">
        <v>176</v>
      </c>
    </row>
    <row r="71" spans="1:27" ht="24.95" customHeight="1" thickTop="1" thickBot="1" x14ac:dyDescent="0.3">
      <c r="B71" s="443" t="s">
        <v>134</v>
      </c>
      <c r="C71" s="445"/>
      <c r="D71" s="762" t="s">
        <v>9</v>
      </c>
      <c r="E71" s="762"/>
      <c r="F71" s="762"/>
      <c r="G71" s="762"/>
      <c r="H71" s="762" t="s">
        <v>30</v>
      </c>
      <c r="I71" s="762"/>
      <c r="J71" s="762"/>
      <c r="K71" s="762"/>
      <c r="L71" s="163"/>
    </row>
    <row r="72" spans="1:27" s="169" customFormat="1" ht="24.95" hidden="1" customHeight="1" thickTop="1" x14ac:dyDescent="0.2">
      <c r="A72" s="216"/>
      <c r="B72" s="826" t="s">
        <v>386</v>
      </c>
      <c r="C72" s="827"/>
      <c r="D72" s="816" t="e">
        <f>C122*0.2</f>
        <v>#DIV/0!</v>
      </c>
      <c r="E72" s="817"/>
      <c r="F72" s="817"/>
      <c r="G72" s="818"/>
      <c r="H72" s="816" t="e">
        <f>C130*0.2</f>
        <v>#DIV/0!</v>
      </c>
      <c r="I72" s="817"/>
      <c r="J72" s="817"/>
      <c r="K72" s="832"/>
      <c r="L72" s="420"/>
      <c r="M72" s="216"/>
      <c r="N72" s="216"/>
      <c r="O72" s="216"/>
      <c r="P72" s="216"/>
      <c r="Q72" s="216"/>
      <c r="R72" s="216"/>
      <c r="S72" s="216"/>
      <c r="T72" s="216"/>
      <c r="U72" s="216"/>
      <c r="V72" s="216"/>
      <c r="W72" s="216"/>
      <c r="X72" s="216"/>
      <c r="Y72" s="216"/>
      <c r="Z72" s="216"/>
      <c r="AA72" s="216"/>
    </row>
    <row r="73" spans="1:27" s="169" customFormat="1" ht="24.95" hidden="1" customHeight="1" x14ac:dyDescent="0.2">
      <c r="A73" s="216"/>
      <c r="B73" s="814" t="s">
        <v>387</v>
      </c>
      <c r="C73" s="815"/>
      <c r="D73" s="812" t="e">
        <f>D72/$D$11</f>
        <v>#DIV/0!</v>
      </c>
      <c r="E73" s="812"/>
      <c r="F73" s="812"/>
      <c r="G73" s="812"/>
      <c r="H73" s="812" t="e">
        <f>H72/$D$11</f>
        <v>#DIV/0!</v>
      </c>
      <c r="I73" s="812"/>
      <c r="J73" s="812"/>
      <c r="K73" s="813"/>
      <c r="L73" s="421"/>
      <c r="M73" s="216"/>
      <c r="N73" s="216"/>
      <c r="O73" s="216"/>
      <c r="P73" s="216"/>
      <c r="Q73" s="216"/>
      <c r="R73" s="216"/>
      <c r="S73" s="216"/>
      <c r="T73" s="216"/>
      <c r="U73" s="216"/>
      <c r="V73" s="216"/>
      <c r="W73" s="216"/>
      <c r="X73" s="216"/>
      <c r="Y73" s="216"/>
      <c r="Z73" s="216"/>
      <c r="AA73" s="216"/>
    </row>
    <row r="74" spans="1:27" ht="24.95" customHeight="1" thickTop="1" thickBot="1" x14ac:dyDescent="0.25">
      <c r="B74" s="828" t="s">
        <v>132</v>
      </c>
      <c r="C74" s="829"/>
      <c r="D74" s="763" t="e">
        <f>$G$109</f>
        <v>#DIV/0!</v>
      </c>
      <c r="E74" s="763"/>
      <c r="F74" s="763"/>
      <c r="G74" s="763"/>
      <c r="H74" s="763" t="e">
        <f>$H$109</f>
        <v>#DIV/0!</v>
      </c>
      <c r="I74" s="763"/>
      <c r="J74" s="763"/>
      <c r="K74" s="763"/>
      <c r="L74" s="566" t="s">
        <v>177</v>
      </c>
    </row>
    <row r="75" spans="1:27" s="142" customFormat="1" ht="24.95" customHeight="1" thickTop="1" thickBot="1" x14ac:dyDescent="0.25">
      <c r="A75" s="141"/>
      <c r="B75" s="750" t="s">
        <v>223</v>
      </c>
      <c r="C75" s="751"/>
      <c r="D75" s="436"/>
      <c r="E75" s="436"/>
      <c r="F75" s="436"/>
      <c r="G75" s="436"/>
      <c r="H75" s="436"/>
      <c r="I75" s="436"/>
      <c r="J75" s="436"/>
      <c r="K75" s="437"/>
      <c r="L75" s="422"/>
      <c r="M75" s="141"/>
      <c r="N75" s="141"/>
      <c r="O75" s="141"/>
      <c r="P75" s="141"/>
      <c r="Q75" s="141"/>
      <c r="R75" s="141"/>
      <c r="S75" s="141"/>
      <c r="T75" s="141"/>
      <c r="U75" s="141"/>
      <c r="V75" s="141"/>
      <c r="W75" s="141"/>
      <c r="X75" s="141"/>
      <c r="Y75" s="141"/>
      <c r="Z75" s="141"/>
      <c r="AA75" s="141"/>
    </row>
    <row r="76" spans="1:27" s="144" customFormat="1" ht="24.95" customHeight="1" thickTop="1" x14ac:dyDescent="0.2">
      <c r="A76" s="143"/>
      <c r="B76" s="740" t="s">
        <v>402</v>
      </c>
      <c r="C76" s="741"/>
      <c r="D76" s="742">
        <f>SUM($H$26:$K$26)</f>
        <v>0</v>
      </c>
      <c r="E76" s="743"/>
      <c r="F76" s="743"/>
      <c r="G76" s="743"/>
      <c r="H76" s="743"/>
      <c r="I76" s="743"/>
      <c r="J76" s="743"/>
      <c r="K76" s="744"/>
      <c r="L76" s="566" t="s">
        <v>222</v>
      </c>
      <c r="M76" s="143"/>
      <c r="N76" s="143"/>
      <c r="O76" s="143"/>
      <c r="P76" s="143"/>
      <c r="Q76" s="143"/>
      <c r="R76" s="143"/>
      <c r="S76" s="143"/>
      <c r="T76" s="143"/>
      <c r="U76" s="143"/>
      <c r="V76" s="143"/>
      <c r="W76" s="143"/>
      <c r="X76" s="143"/>
      <c r="Y76" s="143"/>
      <c r="Z76" s="143"/>
      <c r="AA76" s="143"/>
    </row>
    <row r="77" spans="1:27" s="144" customFormat="1" ht="24.95" customHeight="1" thickBot="1" x14ac:dyDescent="0.25">
      <c r="A77" s="143"/>
      <c r="B77" s="745" t="s">
        <v>403</v>
      </c>
      <c r="C77" s="746"/>
      <c r="D77" s="747" t="e">
        <f>IF(D76&gt;0,$C$188,H74)</f>
        <v>#DIV/0!</v>
      </c>
      <c r="E77" s="748"/>
      <c r="F77" s="748"/>
      <c r="G77" s="748"/>
      <c r="H77" s="748"/>
      <c r="I77" s="748"/>
      <c r="J77" s="748"/>
      <c r="K77" s="749"/>
      <c r="L77" s="423"/>
      <c r="M77" s="143"/>
      <c r="N77" s="143"/>
      <c r="O77" s="143"/>
      <c r="P77" s="143"/>
      <c r="Q77" s="143"/>
      <c r="R77" s="143"/>
      <c r="S77" s="143"/>
      <c r="T77" s="143"/>
      <c r="U77" s="143"/>
      <c r="V77" s="143"/>
      <c r="W77" s="143"/>
      <c r="X77" s="143"/>
      <c r="Y77" s="143"/>
      <c r="Z77" s="143"/>
      <c r="AA77" s="143"/>
    </row>
    <row r="78" spans="1:27" ht="24.95" customHeight="1" thickTop="1" thickBot="1" x14ac:dyDescent="0.25">
      <c r="B78" s="750" t="s">
        <v>385</v>
      </c>
      <c r="C78" s="751"/>
      <c r="D78" s="436"/>
      <c r="E78" s="436"/>
      <c r="F78" s="436"/>
      <c r="G78" s="436"/>
      <c r="H78" s="436"/>
      <c r="I78" s="436"/>
      <c r="J78" s="436"/>
      <c r="K78" s="437"/>
      <c r="L78" s="163"/>
    </row>
    <row r="79" spans="1:27" s="555" customFormat="1" ht="24.95" hidden="1" customHeight="1" thickTop="1" x14ac:dyDescent="0.2">
      <c r="A79" s="554"/>
      <c r="B79" s="764" t="s">
        <v>552</v>
      </c>
      <c r="C79" s="765"/>
      <c r="D79" s="823">
        <f>IF(ISERROR(C170),"",(C170))</f>
        <v>0</v>
      </c>
      <c r="E79" s="824"/>
      <c r="F79" s="824"/>
      <c r="G79" s="824"/>
      <c r="H79" s="824"/>
      <c r="I79" s="824"/>
      <c r="J79" s="824"/>
      <c r="K79" s="825"/>
      <c r="L79" s="553" t="s">
        <v>389</v>
      </c>
      <c r="M79" s="554"/>
      <c r="N79" s="554"/>
      <c r="O79" s="554"/>
      <c r="P79" s="554"/>
      <c r="Q79" s="554"/>
      <c r="R79" s="554"/>
      <c r="S79" s="554"/>
      <c r="T79" s="554"/>
      <c r="U79" s="554"/>
      <c r="V79" s="554"/>
      <c r="W79" s="554"/>
      <c r="X79" s="554"/>
      <c r="Y79" s="554"/>
      <c r="Z79" s="554"/>
      <c r="AA79" s="554"/>
    </row>
    <row r="80" spans="1:27" ht="41.25" customHeight="1" thickTop="1" thickBot="1" x14ac:dyDescent="0.25">
      <c r="B80" s="757" t="s">
        <v>590</v>
      </c>
      <c r="C80" s="758"/>
      <c r="D80" s="759" t="str">
        <f>IF(ISERROR($K$175),"",($K$175))</f>
        <v/>
      </c>
      <c r="E80" s="760"/>
      <c r="F80" s="760"/>
      <c r="G80" s="760"/>
      <c r="H80" s="760"/>
      <c r="I80" s="760"/>
      <c r="J80" s="760"/>
      <c r="K80" s="761"/>
      <c r="L80" s="566" t="s">
        <v>389</v>
      </c>
    </row>
    <row r="81" spans="1:27" ht="24.95" customHeight="1" thickTop="1" thickBot="1" x14ac:dyDescent="0.25">
      <c r="B81" s="750" t="s">
        <v>384</v>
      </c>
      <c r="C81" s="751"/>
      <c r="D81" s="436"/>
      <c r="E81" s="436"/>
      <c r="F81" s="436"/>
      <c r="G81" s="436"/>
      <c r="H81" s="436"/>
      <c r="I81" s="436"/>
      <c r="J81" s="436"/>
      <c r="K81" s="437"/>
      <c r="L81" s="163"/>
    </row>
    <row r="82" spans="1:27" ht="24.95" customHeight="1" thickTop="1" x14ac:dyDescent="0.2">
      <c r="B82" s="754" t="s">
        <v>390</v>
      </c>
      <c r="C82" s="753"/>
      <c r="D82" s="755" t="e">
        <f>IF(D72&gt;'SITE DATA'!$F$26,0,C123)</f>
        <v>#DIV/0!</v>
      </c>
      <c r="E82" s="755"/>
      <c r="F82" s="755"/>
      <c r="G82" s="755"/>
      <c r="H82" s="755" t="e">
        <f>IF(H72&gt;'SITE DATA'!$F$26,0,C131)</f>
        <v>#DIV/0!</v>
      </c>
      <c r="I82" s="755"/>
      <c r="J82" s="755"/>
      <c r="K82" s="755"/>
      <c r="L82" s="566" t="s">
        <v>178</v>
      </c>
    </row>
    <row r="83" spans="1:27" ht="24.95" customHeight="1" x14ac:dyDescent="0.2">
      <c r="B83" s="752" t="s">
        <v>349</v>
      </c>
      <c r="C83" s="753"/>
      <c r="D83" s="756" t="e">
        <f>ROUND(IF(ISERROR((D82/12)*(D10*43560)),"",((D82/12)*(D10*43560))),0)</f>
        <v>#VALUE!</v>
      </c>
      <c r="E83" s="756"/>
      <c r="F83" s="756"/>
      <c r="G83" s="756"/>
      <c r="H83" s="756">
        <f>ROUND(IF(ISERROR((H82/12)*(H10*43560)),0,((H82/12)*(H10*43560))),0)</f>
        <v>0</v>
      </c>
      <c r="I83" s="756"/>
      <c r="J83" s="756"/>
      <c r="K83" s="756"/>
      <c r="L83" s="424"/>
    </row>
    <row r="84" spans="1:27" ht="39" customHeight="1" x14ac:dyDescent="0.2">
      <c r="B84" s="757" t="s">
        <v>559</v>
      </c>
      <c r="C84" s="758"/>
      <c r="D84" s="756" t="str">
        <f>IF(ISERROR(H83-D83),"",(H83-D83))</f>
        <v/>
      </c>
      <c r="E84" s="756"/>
      <c r="F84" s="756"/>
      <c r="G84" s="756"/>
      <c r="H84" s="756"/>
      <c r="I84" s="756"/>
      <c r="J84" s="756"/>
      <c r="K84" s="756"/>
      <c r="L84" s="425"/>
    </row>
    <row r="85" spans="1:27" ht="24.95" customHeight="1" thickBot="1" x14ac:dyDescent="0.25">
      <c r="B85" s="752" t="s">
        <v>350</v>
      </c>
      <c r="C85" s="753"/>
      <c r="D85" s="809" t="e">
        <f>H127</f>
        <v>#DIV/0!</v>
      </c>
      <c r="E85" s="809"/>
      <c r="F85" s="809"/>
      <c r="G85" s="809"/>
      <c r="H85" s="809" t="e">
        <f>H135</f>
        <v>#DIV/0!</v>
      </c>
      <c r="I85" s="809"/>
      <c r="J85" s="809"/>
      <c r="K85" s="809"/>
      <c r="L85" s="426" t="s">
        <v>159</v>
      </c>
    </row>
    <row r="86" spans="1:27" ht="24.95" customHeight="1" thickTop="1" thickBot="1" x14ac:dyDescent="0.25">
      <c r="B86" s="750" t="s">
        <v>374</v>
      </c>
      <c r="C86" s="751"/>
      <c r="D86" s="436"/>
      <c r="E86" s="436"/>
      <c r="F86" s="436"/>
      <c r="G86" s="436"/>
      <c r="H86" s="436"/>
      <c r="I86" s="436"/>
      <c r="J86" s="436"/>
      <c r="K86" s="437"/>
      <c r="L86" s="426"/>
    </row>
    <row r="87" spans="1:27" ht="24.95" customHeight="1" thickTop="1" x14ac:dyDescent="0.2">
      <c r="B87" s="754" t="s">
        <v>391</v>
      </c>
      <c r="C87" s="753"/>
      <c r="D87" s="755" t="e">
        <f>IF($D$72&gt;'SITE DATA'!$F$27,0,C124)</f>
        <v>#DIV/0!</v>
      </c>
      <c r="E87" s="755"/>
      <c r="F87" s="755"/>
      <c r="G87" s="755"/>
      <c r="H87" s="755" t="e">
        <f>IF($H$72&gt;'SITE DATA'!$F$27,0,C132)</f>
        <v>#DIV/0!</v>
      </c>
      <c r="I87" s="755"/>
      <c r="J87" s="755"/>
      <c r="K87" s="755"/>
      <c r="L87" s="566" t="s">
        <v>178</v>
      </c>
    </row>
    <row r="88" spans="1:27" ht="24.95" customHeight="1" x14ac:dyDescent="0.2">
      <c r="B88" s="752" t="s">
        <v>349</v>
      </c>
      <c r="C88" s="753"/>
      <c r="D88" s="756" t="e">
        <f>(D87/12)*($D$10*43560)</f>
        <v>#DIV/0!</v>
      </c>
      <c r="E88" s="756"/>
      <c r="F88" s="756"/>
      <c r="G88" s="756"/>
      <c r="H88" s="756" t="e">
        <f>(H87/12)*(H10*43560)</f>
        <v>#DIV/0!</v>
      </c>
      <c r="I88" s="756"/>
      <c r="J88" s="756"/>
      <c r="K88" s="756"/>
      <c r="L88" s="426"/>
    </row>
    <row r="89" spans="1:27" ht="24.95" customHeight="1" thickBot="1" x14ac:dyDescent="0.25">
      <c r="B89" s="752" t="s">
        <v>351</v>
      </c>
      <c r="C89" s="753"/>
      <c r="D89" s="809" t="e">
        <f>H128</f>
        <v>#DIV/0!</v>
      </c>
      <c r="E89" s="809"/>
      <c r="F89" s="809"/>
      <c r="G89" s="809"/>
      <c r="H89" s="809" t="e">
        <f>H136</f>
        <v>#DIV/0!</v>
      </c>
      <c r="I89" s="809"/>
      <c r="J89" s="809"/>
      <c r="K89" s="809"/>
      <c r="L89" s="426" t="s">
        <v>159</v>
      </c>
    </row>
    <row r="90" spans="1:27" ht="24.95" customHeight="1" thickTop="1" thickBot="1" x14ac:dyDescent="0.25">
      <c r="B90" s="750" t="s">
        <v>376</v>
      </c>
      <c r="C90" s="751"/>
      <c r="D90" s="436"/>
      <c r="E90" s="436"/>
      <c r="F90" s="436"/>
      <c r="G90" s="436"/>
      <c r="H90" s="436"/>
      <c r="I90" s="436"/>
      <c r="J90" s="436"/>
      <c r="K90" s="437"/>
      <c r="L90" s="426"/>
    </row>
    <row r="91" spans="1:27" ht="24.95" customHeight="1" thickTop="1" x14ac:dyDescent="0.2">
      <c r="B91" s="754" t="s">
        <v>392</v>
      </c>
      <c r="C91" s="753"/>
      <c r="D91" s="755" t="e">
        <f>IF($D$72&gt;'SITE DATA'!F28,0,C125)</f>
        <v>#DIV/0!</v>
      </c>
      <c r="E91" s="755"/>
      <c r="F91" s="755"/>
      <c r="G91" s="755"/>
      <c r="H91" s="755" t="e">
        <f>IF($H$72&gt;'SITE DATA'!F28,0,C133)</f>
        <v>#DIV/0!</v>
      </c>
      <c r="I91" s="755"/>
      <c r="J91" s="755"/>
      <c r="K91" s="755"/>
      <c r="L91" s="566" t="s">
        <v>178</v>
      </c>
    </row>
    <row r="92" spans="1:27" ht="24.95" customHeight="1" x14ac:dyDescent="0.2">
      <c r="B92" s="752" t="s">
        <v>349</v>
      </c>
      <c r="C92" s="753"/>
      <c r="D92" s="756" t="e">
        <f>(D91/12)*($D$10*43560)</f>
        <v>#DIV/0!</v>
      </c>
      <c r="E92" s="756"/>
      <c r="F92" s="756"/>
      <c r="G92" s="756"/>
      <c r="H92" s="756" t="e">
        <f>(H91/12)*($D$10*43560)</f>
        <v>#DIV/0!</v>
      </c>
      <c r="I92" s="756"/>
      <c r="J92" s="756"/>
      <c r="K92" s="756"/>
      <c r="L92" s="426"/>
    </row>
    <row r="93" spans="1:27" ht="24.95" customHeight="1" thickBot="1" x14ac:dyDescent="0.25">
      <c r="B93" s="810" t="s">
        <v>352</v>
      </c>
      <c r="C93" s="811"/>
      <c r="D93" s="808" t="e">
        <f>H129</f>
        <v>#DIV/0!</v>
      </c>
      <c r="E93" s="808"/>
      <c r="F93" s="808"/>
      <c r="G93" s="808"/>
      <c r="H93" s="808" t="e">
        <f>H137</f>
        <v>#DIV/0!</v>
      </c>
      <c r="I93" s="808"/>
      <c r="J93" s="808"/>
      <c r="K93" s="808"/>
      <c r="L93" s="426"/>
    </row>
    <row r="94" spans="1:27" s="507" customFormat="1" ht="24.95" hidden="1" customHeight="1" thickTop="1" x14ac:dyDescent="0.2">
      <c r="B94" s="165"/>
      <c r="C94" s="165"/>
      <c r="D94" s="807" t="e">
        <f>IF($H$93&gt;$D$93,"Post-development peak flow exceeds pre-development peak flow for this DA!","")</f>
        <v>#DIV/0!</v>
      </c>
      <c r="E94" s="807"/>
      <c r="F94" s="807"/>
      <c r="G94" s="807"/>
      <c r="H94" s="807"/>
      <c r="I94" s="807"/>
      <c r="J94" s="807"/>
      <c r="K94" s="807"/>
    </row>
    <row r="95" spans="1:27" s="507" customFormat="1" ht="15" hidden="1" customHeight="1" x14ac:dyDescent="0.2">
      <c r="B95" s="155"/>
      <c r="C95" s="165"/>
      <c r="D95" s="167"/>
      <c r="E95" s="167"/>
      <c r="F95" s="167"/>
      <c r="G95" s="167"/>
      <c r="H95" s="167"/>
      <c r="I95" s="167"/>
      <c r="J95" s="167"/>
      <c r="K95" s="167"/>
      <c r="L95" s="168"/>
    </row>
    <row r="96" spans="1:27" s="169" customFormat="1" ht="15.75" hidden="1" customHeight="1" x14ac:dyDescent="0.25">
      <c r="A96" s="216"/>
      <c r="B96" s="806" t="s">
        <v>126</v>
      </c>
      <c r="C96" s="806"/>
      <c r="D96" s="806"/>
      <c r="E96" s="806"/>
      <c r="F96" s="806"/>
      <c r="G96" s="806"/>
      <c r="H96" s="806"/>
      <c r="I96" s="806"/>
      <c r="J96" s="806"/>
      <c r="K96" s="806"/>
      <c r="L96" s="806"/>
      <c r="M96" s="216"/>
      <c r="N96" s="216"/>
      <c r="O96" s="216"/>
      <c r="P96" s="216"/>
      <c r="Q96" s="216"/>
      <c r="R96" s="216"/>
      <c r="S96" s="216"/>
      <c r="T96" s="216"/>
      <c r="U96" s="216"/>
      <c r="V96" s="216"/>
      <c r="W96" s="216"/>
      <c r="X96" s="216"/>
      <c r="Y96" s="216"/>
      <c r="Z96" s="216"/>
      <c r="AA96" s="216"/>
    </row>
    <row r="97" spans="2:14" s="507" customFormat="1" ht="15" hidden="1" customHeight="1" x14ac:dyDescent="0.2">
      <c r="K97" s="167"/>
      <c r="L97" s="168"/>
    </row>
    <row r="98" spans="2:14" ht="18.75" hidden="1" customHeight="1" thickBot="1" x14ac:dyDescent="0.25">
      <c r="B98" s="855" t="s">
        <v>133</v>
      </c>
      <c r="C98" s="856"/>
      <c r="D98" s="856"/>
      <c r="E98" s="856"/>
      <c r="F98" s="856"/>
      <c r="G98" s="856"/>
      <c r="H98" s="856"/>
      <c r="I98" s="856"/>
      <c r="J98" s="170"/>
      <c r="K98" s="507"/>
      <c r="L98" s="507"/>
    </row>
    <row r="99" spans="2:14" ht="60" hidden="1" customHeight="1" x14ac:dyDescent="0.2">
      <c r="B99" s="171" t="s">
        <v>14</v>
      </c>
      <c r="C99" s="172" t="s">
        <v>15</v>
      </c>
      <c r="D99" s="172" t="s">
        <v>16</v>
      </c>
      <c r="E99" s="172" t="s">
        <v>18</v>
      </c>
      <c r="F99" s="172" t="s">
        <v>17</v>
      </c>
      <c r="G99" s="224" t="s">
        <v>289</v>
      </c>
      <c r="H99" s="225" t="s">
        <v>290</v>
      </c>
      <c r="I99" s="250" t="s">
        <v>377</v>
      </c>
      <c r="J99" s="249"/>
      <c r="K99" s="508"/>
      <c r="L99" s="507"/>
    </row>
    <row r="100" spans="2:14" ht="15" hidden="1" customHeight="1" x14ac:dyDescent="0.2">
      <c r="B100" s="173" t="s">
        <v>12</v>
      </c>
      <c r="C100" s="568">
        <v>39</v>
      </c>
      <c r="D100" s="568">
        <v>61</v>
      </c>
      <c r="E100" s="568">
        <v>74</v>
      </c>
      <c r="F100" s="568">
        <v>80</v>
      </c>
      <c r="G100" s="567">
        <f t="shared" ref="G100:G107" si="0">(C100*D17)+(D100*E17)+(E100*F17)+(F100*G17)</f>
        <v>0</v>
      </c>
      <c r="H100" s="569">
        <f>($C$100*$H$17)+($D$100*$I$17)+($E$100*$J$17)+($F$100*$K$17)</f>
        <v>0</v>
      </c>
      <c r="I100" s="251">
        <f>($C$100*$H$17)+($D$100*$I$17)+($E$100*$J$17)+($F$100*$K$17)</f>
        <v>0</v>
      </c>
      <c r="J100" s="508"/>
      <c r="K100" s="508"/>
      <c r="L100" s="507"/>
    </row>
    <row r="101" spans="2:14" ht="18" hidden="1" customHeight="1" x14ac:dyDescent="0.2">
      <c r="B101" s="173" t="s">
        <v>233</v>
      </c>
      <c r="C101" s="568">
        <v>45</v>
      </c>
      <c r="D101" s="568">
        <v>66</v>
      </c>
      <c r="E101" s="568">
        <v>77</v>
      </c>
      <c r="F101" s="568">
        <v>83</v>
      </c>
      <c r="G101" s="567">
        <f t="shared" si="0"/>
        <v>0</v>
      </c>
      <c r="H101" s="569">
        <f>($C$101*$H$18)+($D$101*$I$18)+($E$101*$J$18)+($F$101*$K$18)</f>
        <v>0</v>
      </c>
      <c r="I101" s="251">
        <f>($C$101*$H$18)+($D$101*$I$18)+($E$101*$J$18)+($F$101*$K$18)</f>
        <v>0</v>
      </c>
      <c r="J101" s="508"/>
      <c r="K101" s="508"/>
      <c r="L101" s="507"/>
    </row>
    <row r="102" spans="2:14" ht="18" hidden="1" customHeight="1" x14ac:dyDescent="0.2">
      <c r="B102" s="173" t="s">
        <v>235</v>
      </c>
      <c r="C102" s="568">
        <v>36</v>
      </c>
      <c r="D102" s="568">
        <v>60</v>
      </c>
      <c r="E102" s="568">
        <v>73</v>
      </c>
      <c r="F102" s="568">
        <v>79</v>
      </c>
      <c r="G102" s="567">
        <f t="shared" si="0"/>
        <v>0</v>
      </c>
      <c r="H102" s="569">
        <f>($C$102*$H$19)+($D$102*$I$19)+($E$102*$J$19)+($F$102*$K$19)</f>
        <v>0</v>
      </c>
      <c r="I102" s="251">
        <f>($C$102*$H$19)+($D$102*$I$19)+($E$102*$J$19)+($F$102*$K$19)</f>
        <v>0</v>
      </c>
      <c r="J102" s="508"/>
      <c r="K102" s="508"/>
      <c r="L102" s="507"/>
    </row>
    <row r="103" spans="2:14" ht="18" hidden="1" customHeight="1" x14ac:dyDescent="0.2">
      <c r="B103" s="173" t="s">
        <v>236</v>
      </c>
      <c r="C103" s="568">
        <v>30</v>
      </c>
      <c r="D103" s="568">
        <v>55</v>
      </c>
      <c r="E103" s="568">
        <v>70</v>
      </c>
      <c r="F103" s="568">
        <v>77</v>
      </c>
      <c r="G103" s="567">
        <f t="shared" si="0"/>
        <v>0</v>
      </c>
      <c r="H103" s="569">
        <f>($C$103*$H$20)+($D$103*$I$20)+($E$103*$J$20)+($F$103*$K$20)</f>
        <v>0</v>
      </c>
      <c r="I103" s="251">
        <f>($C$103*$H$20)+($D$103*$I$20)+($E$103*$J$20)+($F$103*$K$20)</f>
        <v>0</v>
      </c>
      <c r="J103" s="508"/>
      <c r="K103" s="508"/>
      <c r="L103" s="507"/>
    </row>
    <row r="104" spans="2:14" ht="18" hidden="1" customHeight="1" x14ac:dyDescent="0.2">
      <c r="B104" s="173" t="s">
        <v>234</v>
      </c>
      <c r="C104" s="568">
        <v>68</v>
      </c>
      <c r="D104" s="568">
        <v>79</v>
      </c>
      <c r="E104" s="568">
        <v>86</v>
      </c>
      <c r="F104" s="568">
        <v>89</v>
      </c>
      <c r="G104" s="567">
        <f t="shared" si="0"/>
        <v>0</v>
      </c>
      <c r="H104" s="569">
        <f>($C$104*$H$21)+($D$104*$I$21)+($E$104*$J$21)+($F$104*$K$21)</f>
        <v>0</v>
      </c>
      <c r="I104" s="251">
        <f>($C$104*$H$21)+($D$104*$I$21)+($E$104*$J$21)+($F$104*$K$21)</f>
        <v>0</v>
      </c>
      <c r="J104" s="508"/>
      <c r="K104" s="508"/>
      <c r="L104" s="507"/>
    </row>
    <row r="105" spans="2:14" ht="18" hidden="1" customHeight="1" x14ac:dyDescent="0.2">
      <c r="B105" s="173" t="s">
        <v>237</v>
      </c>
      <c r="C105" s="568">
        <v>49</v>
      </c>
      <c r="D105" s="568">
        <v>69</v>
      </c>
      <c r="E105" s="568">
        <v>79</v>
      </c>
      <c r="F105" s="568">
        <v>84</v>
      </c>
      <c r="G105" s="567">
        <f t="shared" si="0"/>
        <v>0</v>
      </c>
      <c r="H105" s="569">
        <f>($C$105*$H$22)+($D$105*$I$22)+($E$105*$J$22)+($F$105*$K$22)</f>
        <v>0</v>
      </c>
      <c r="I105" s="251">
        <f>($C$105*$H$22)+($D$105*$I$22)+($E$105*$J$22)+($F$105*$K$22)</f>
        <v>0</v>
      </c>
      <c r="J105" s="508"/>
      <c r="K105" s="508"/>
      <c r="L105" s="507"/>
    </row>
    <row r="106" spans="2:14" ht="18" hidden="1" customHeight="1" x14ac:dyDescent="0.2">
      <c r="B106" s="173" t="s">
        <v>238</v>
      </c>
      <c r="C106" s="568">
        <v>39</v>
      </c>
      <c r="D106" s="568">
        <v>61</v>
      </c>
      <c r="E106" s="568">
        <v>74</v>
      </c>
      <c r="F106" s="568">
        <v>80</v>
      </c>
      <c r="G106" s="567">
        <f t="shared" si="0"/>
        <v>0</v>
      </c>
      <c r="H106" s="569">
        <f>($C$106*$H$23)+($D$106*$I$23)+($E$106*$J$23)+($F$106*$K$23)</f>
        <v>0</v>
      </c>
      <c r="I106" s="251">
        <f>($C$106*$H$23)+($D$106*$I$23)+($E$106*$J$23)+($F$106*$K$23)</f>
        <v>0</v>
      </c>
      <c r="J106" s="508"/>
      <c r="K106" s="508"/>
      <c r="L106" s="507"/>
    </row>
    <row r="107" spans="2:14" ht="15" hidden="1" customHeight="1" x14ac:dyDescent="0.2">
      <c r="B107" s="173" t="s">
        <v>245</v>
      </c>
      <c r="C107" s="568">
        <v>30</v>
      </c>
      <c r="D107" s="568">
        <v>55</v>
      </c>
      <c r="E107" s="568">
        <v>70</v>
      </c>
      <c r="F107" s="568">
        <v>77</v>
      </c>
      <c r="G107" s="567">
        <f t="shared" si="0"/>
        <v>0</v>
      </c>
      <c r="H107" s="569">
        <f>($C$107*$H$24)+($D$107*$I$24)+($E$107*$J$24)+($F$107*$K$24)</f>
        <v>0</v>
      </c>
      <c r="I107" s="251">
        <f>($C$107*$H$24)+($D$107*$I$24)+($E$107*$J$24)+($F$107*$K$24)</f>
        <v>0</v>
      </c>
      <c r="J107" s="508"/>
      <c r="K107" s="508"/>
      <c r="L107" s="507"/>
    </row>
    <row r="108" spans="2:14" ht="18.75" hidden="1" customHeight="1" thickBot="1" x14ac:dyDescent="0.25">
      <c r="B108" s="175" t="s">
        <v>243</v>
      </c>
      <c r="C108" s="176">
        <v>98</v>
      </c>
      <c r="D108" s="176">
        <v>98</v>
      </c>
      <c r="E108" s="177">
        <v>98</v>
      </c>
      <c r="F108" s="177">
        <v>98</v>
      </c>
      <c r="G108" s="228">
        <f>(C108*(D26+D25))+(D108*(E26+E25))+(E108*(F26+F25))+(F108*(G26+G25))</f>
        <v>0</v>
      </c>
      <c r="H108" s="229">
        <f>($C$108*(H25+H26))+($D$108*(I25+I26))+($E$108*(J25+J26))+($F$108*(K25+K26))</f>
        <v>0</v>
      </c>
      <c r="I108" s="252">
        <f>($C$108*H26)+($D$108*I26)+($E$108*J26)+($F$108*K26)</f>
        <v>0</v>
      </c>
      <c r="J108" s="508" t="s">
        <v>370</v>
      </c>
      <c r="K108" s="508"/>
      <c r="L108" s="507"/>
    </row>
    <row r="109" spans="2:14" ht="15.75" hidden="1" customHeight="1" thickBot="1" x14ac:dyDescent="0.25">
      <c r="B109" s="178"/>
      <c r="C109" s="146"/>
      <c r="D109" s="146"/>
      <c r="E109" s="869" t="s">
        <v>265</v>
      </c>
      <c r="F109" s="870"/>
      <c r="G109" s="414" t="e">
        <f>ROUND((SUM(G100:G108)/SUM(D17:G26)),2)</f>
        <v>#DIV/0!</v>
      </c>
      <c r="H109" s="414" t="e">
        <f>ROUND((SUM(H100:H108)/SUM(H17:K26)),2)</f>
        <v>#DIV/0!</v>
      </c>
      <c r="I109" s="415" t="e">
        <f>ROUND(SUM(I100:I108)/(SUM(H17:K26)-SUM(H25:K25)),2)</f>
        <v>#DIV/0!</v>
      </c>
      <c r="J109" s="508"/>
      <c r="K109" s="508"/>
      <c r="L109" s="507"/>
    </row>
    <row r="110" spans="2:14" ht="15" hidden="1" customHeight="1" x14ac:dyDescent="0.2">
      <c r="B110" s="509"/>
      <c r="C110" s="506"/>
      <c r="D110" s="506"/>
      <c r="E110" s="159"/>
      <c r="F110" s="159"/>
      <c r="G110" s="159"/>
      <c r="H110" s="506"/>
      <c r="I110" s="506"/>
      <c r="J110" s="507"/>
      <c r="K110" s="167"/>
      <c r="L110" s="168"/>
    </row>
    <row r="111" spans="2:14" ht="15.75" hidden="1" customHeight="1" thickBot="1" x14ac:dyDescent="0.25">
      <c r="B111" s="507"/>
      <c r="C111" s="507"/>
      <c r="D111" s="506"/>
      <c r="E111" s="507"/>
      <c r="F111" s="507"/>
      <c r="G111" s="507"/>
      <c r="H111" s="507"/>
      <c r="I111" s="507"/>
      <c r="J111" s="507"/>
      <c r="K111" s="507"/>
    </row>
    <row r="112" spans="2:14" ht="18.75" hidden="1" customHeight="1" thickBot="1" x14ac:dyDescent="0.3">
      <c r="B112" s="836" t="s">
        <v>383</v>
      </c>
      <c r="C112" s="837"/>
      <c r="D112" s="506"/>
      <c r="E112" s="849" t="s">
        <v>55</v>
      </c>
      <c r="F112" s="850"/>
      <c r="G112" s="850"/>
      <c r="H112" s="850"/>
      <c r="I112" s="850"/>
      <c r="J112" s="850"/>
      <c r="K112" s="850"/>
      <c r="L112" s="850"/>
      <c r="M112" s="850"/>
      <c r="N112" s="851"/>
    </row>
    <row r="113" spans="2:14" ht="15" hidden="1" customHeight="1" x14ac:dyDescent="0.2">
      <c r="B113" s="838"/>
      <c r="C113" s="839"/>
      <c r="D113" s="506"/>
      <c r="E113" s="865" t="s">
        <v>32</v>
      </c>
      <c r="F113" s="866"/>
      <c r="G113" s="866"/>
      <c r="H113" s="866"/>
      <c r="I113" s="866"/>
      <c r="J113" s="866"/>
      <c r="K113" s="866"/>
      <c r="L113" s="866"/>
      <c r="M113" s="866"/>
      <c r="N113" s="867"/>
    </row>
    <row r="114" spans="2:14" ht="18" hidden="1" customHeight="1" x14ac:dyDescent="0.2">
      <c r="B114" s="64"/>
      <c r="C114" s="113"/>
      <c r="D114" s="506"/>
      <c r="E114" s="265"/>
      <c r="F114" s="159"/>
      <c r="G114" s="266"/>
      <c r="H114" s="266"/>
      <c r="I114" s="266"/>
      <c r="J114" s="266"/>
      <c r="K114" s="510"/>
      <c r="L114" s="181"/>
      <c r="M114" s="506"/>
      <c r="N114" s="513"/>
    </row>
    <row r="115" spans="2:14" ht="20.25" hidden="1" customHeight="1" x14ac:dyDescent="0.35">
      <c r="B115" s="863" t="s">
        <v>40</v>
      </c>
      <c r="C115" s="864"/>
      <c r="D115" s="506"/>
      <c r="E115" s="265"/>
      <c r="F115" s="266"/>
      <c r="G115" s="267" t="s">
        <v>149</v>
      </c>
      <c r="H115" s="267"/>
      <c r="I115" s="268"/>
      <c r="J115" s="506" t="s">
        <v>138</v>
      </c>
      <c r="K115" s="510"/>
      <c r="L115" s="181"/>
      <c r="M115" s="506"/>
      <c r="N115" s="513"/>
    </row>
    <row r="116" spans="2:14" ht="60" hidden="1" customHeight="1" x14ac:dyDescent="0.2">
      <c r="B116" s="863" t="s">
        <v>22</v>
      </c>
      <c r="C116" s="864"/>
      <c r="D116" s="182" t="s">
        <v>304</v>
      </c>
      <c r="E116" s="265"/>
      <c r="F116" s="266"/>
      <c r="G116" s="267" t="s">
        <v>33</v>
      </c>
      <c r="H116" s="267"/>
      <c r="I116" s="267"/>
      <c r="J116" s="510"/>
      <c r="K116" s="267" t="s">
        <v>33</v>
      </c>
      <c r="L116" s="181"/>
      <c r="M116" s="506"/>
      <c r="N116" s="513"/>
    </row>
    <row r="117" spans="2:14" ht="19.5" hidden="1" customHeight="1" x14ac:dyDescent="0.35">
      <c r="B117" s="183" t="s">
        <v>45</v>
      </c>
      <c r="C117" s="184"/>
      <c r="D117" s="506"/>
      <c r="E117" s="265"/>
      <c r="F117" s="266"/>
      <c r="G117" s="267" t="s">
        <v>128</v>
      </c>
      <c r="H117" s="267"/>
      <c r="I117" s="267"/>
      <c r="J117" s="266"/>
      <c r="K117" s="506" t="s">
        <v>139</v>
      </c>
      <c r="L117" s="181"/>
      <c r="M117" s="506"/>
      <c r="N117" s="513"/>
    </row>
    <row r="118" spans="2:14" ht="19.5" hidden="1" customHeight="1" x14ac:dyDescent="0.35">
      <c r="B118" s="183" t="s">
        <v>41</v>
      </c>
      <c r="C118" s="114"/>
      <c r="D118" s="506"/>
      <c r="E118" s="265"/>
      <c r="F118" s="181"/>
      <c r="G118" s="267" t="s">
        <v>158</v>
      </c>
      <c r="H118" s="268"/>
      <c r="I118" s="268"/>
      <c r="J118" s="268"/>
      <c r="K118" s="506" t="s">
        <v>140</v>
      </c>
      <c r="L118" s="181"/>
      <c r="M118" s="506"/>
      <c r="N118" s="513"/>
    </row>
    <row r="119" spans="2:14" ht="20.25" hidden="1" customHeight="1" x14ac:dyDescent="0.35">
      <c r="B119" s="185"/>
      <c r="C119" s="184"/>
      <c r="D119" s="506"/>
      <c r="E119" s="265"/>
      <c r="F119" s="266"/>
      <c r="G119" s="267" t="s">
        <v>130</v>
      </c>
      <c r="H119" s="267"/>
      <c r="I119" s="267"/>
      <c r="J119" s="266"/>
      <c r="K119" s="510"/>
      <c r="L119" s="269"/>
      <c r="M119" s="506"/>
      <c r="N119" s="513"/>
    </row>
    <row r="120" spans="2:14" ht="15" hidden="1" customHeight="1" x14ac:dyDescent="0.2">
      <c r="B120" s="186" t="s">
        <v>48</v>
      </c>
      <c r="C120" s="184"/>
      <c r="D120" s="506"/>
      <c r="E120" s="265"/>
      <c r="F120" s="266"/>
      <c r="G120" s="267" t="s">
        <v>34</v>
      </c>
      <c r="H120" s="267"/>
      <c r="I120" s="267"/>
      <c r="J120" s="266"/>
      <c r="K120" s="510"/>
      <c r="L120" s="269"/>
      <c r="M120" s="506"/>
      <c r="N120" s="513"/>
    </row>
    <row r="121" spans="2:14" ht="19.5" hidden="1" customHeight="1" x14ac:dyDescent="0.35">
      <c r="B121" s="51" t="s">
        <v>20</v>
      </c>
      <c r="C121" s="187" t="s">
        <v>42</v>
      </c>
      <c r="D121" s="506"/>
      <c r="E121" s="265"/>
      <c r="F121" s="159"/>
      <c r="G121" s="267" t="s">
        <v>150</v>
      </c>
      <c r="H121" s="506"/>
      <c r="I121" s="506"/>
      <c r="J121" s="270"/>
      <c r="K121" s="506"/>
      <c r="L121" s="271"/>
      <c r="M121" s="506"/>
      <c r="N121" s="513"/>
    </row>
    <row r="122" spans="2:14" ht="15.75" hidden="1" customHeight="1" x14ac:dyDescent="0.2">
      <c r="B122" s="51" t="s">
        <v>20</v>
      </c>
      <c r="C122" s="115" t="e">
        <f>(1000/$G$109)-10</f>
        <v>#DIV/0!</v>
      </c>
      <c r="D122" s="506"/>
      <c r="E122" s="860" t="s">
        <v>35</v>
      </c>
      <c r="F122" s="861"/>
      <c r="G122" s="861"/>
      <c r="H122" s="861"/>
      <c r="I122" s="861"/>
      <c r="J122" s="861"/>
      <c r="K122" s="861"/>
      <c r="L122" s="861"/>
      <c r="M122" s="861"/>
      <c r="N122" s="862"/>
    </row>
    <row r="123" spans="2:14" ht="19.5" hidden="1" customHeight="1" x14ac:dyDescent="0.25">
      <c r="B123" s="188" t="s">
        <v>330</v>
      </c>
      <c r="C123" s="76" t="e">
        <f>(($D$11-(0.2*$C$122))^2)/($D$11+(0.8*$C$122))</f>
        <v>#DIV/0!</v>
      </c>
      <c r="D123" s="506"/>
      <c r="E123" s="265"/>
      <c r="F123" s="272"/>
      <c r="G123" s="269" t="s">
        <v>61</v>
      </c>
      <c r="H123" s="273" t="e">
        <f>N125</f>
        <v>#DIV/0!</v>
      </c>
      <c r="I123" s="269" t="s">
        <v>36</v>
      </c>
      <c r="J123" s="506"/>
      <c r="K123" s="511" t="s">
        <v>141</v>
      </c>
      <c r="L123" s="190" t="e">
        <f>IF(D73&gt;0.475,$J$147,IF(D73&gt;0.425,$J$146,IF(D73&gt;0.375,$J$145,IF(D73&gt;0.325,$J$144,IF(D73&gt;0.2,$J$143,$J$142)))))</f>
        <v>#DIV/0!</v>
      </c>
      <c r="M123" s="191"/>
      <c r="N123" s="232"/>
    </row>
    <row r="124" spans="2:14" ht="19.5" hidden="1" customHeight="1" x14ac:dyDescent="0.35">
      <c r="B124" s="188" t="s">
        <v>331</v>
      </c>
      <c r="C124" s="76" t="e">
        <f>(($D$12-(0.2*$C$122))^2)/($D$12+(0.8*$C$122))</f>
        <v>#DIV/0!</v>
      </c>
      <c r="D124" s="506"/>
      <c r="E124" s="274"/>
      <c r="F124" s="272"/>
      <c r="G124" s="269" t="s">
        <v>62</v>
      </c>
      <c r="H124" s="275">
        <f>(D9/640)</f>
        <v>0</v>
      </c>
      <c r="I124" s="269" t="s">
        <v>63</v>
      </c>
      <c r="J124" s="506"/>
      <c r="K124" s="511" t="s">
        <v>142</v>
      </c>
      <c r="L124" s="192" t="e">
        <f>IF(L123=J142,K142,IF(L123=J143,K143,IF(L123=J144,K144,IF(L123=J145,K145,IF(L123=J146,K146,IF(L123=J147,K147,""))))))</f>
        <v>#DIV/0!</v>
      </c>
      <c r="M124" s="165" t="s">
        <v>145</v>
      </c>
      <c r="N124" s="513" t="e">
        <f>L124+(L125*LOG(N126))+(L126*((LOG(N126))^2))</f>
        <v>#DIV/0!</v>
      </c>
    </row>
    <row r="125" spans="2:14" ht="19.5" hidden="1" customHeight="1" x14ac:dyDescent="0.35">
      <c r="B125" s="188" t="s">
        <v>332</v>
      </c>
      <c r="C125" s="76" t="e">
        <f>(($D$13-(0.2*$C$122))^2)/($D$13+(0.8*$C$122))</f>
        <v>#DIV/0!</v>
      </c>
      <c r="D125" s="506"/>
      <c r="E125" s="276" t="s">
        <v>151</v>
      </c>
      <c r="F125" s="277" t="e">
        <f>($D$15/$D$9)*100</f>
        <v>#DIV/0!</v>
      </c>
      <c r="G125" s="278" t="s">
        <v>169</v>
      </c>
      <c r="H125" s="273" t="e">
        <f>IF($F$125&gt;4.44,$N$157,IF($F$125&gt;2.44,$N$156,IF($F$125&gt;0.45,$N$155,IF($F$125&gt;0.144,$N$154,1))))</f>
        <v>#DIV/0!</v>
      </c>
      <c r="I125" s="269"/>
      <c r="J125" s="506"/>
      <c r="K125" s="511" t="s">
        <v>143</v>
      </c>
      <c r="L125" s="192" t="e">
        <f>IF($L$123=J142,L142,IF($L$123=J143,L143,IF($L$123=J144,L144,IF($L$123=J145,L145,IF($L$123=J146,L146,IF($L$123=J147,L147,""))))))</f>
        <v>#DIV/0!</v>
      </c>
      <c r="M125" s="165" t="s">
        <v>146</v>
      </c>
      <c r="N125" s="513" t="e">
        <f>10^N124</f>
        <v>#DIV/0!</v>
      </c>
    </row>
    <row r="126" spans="2:14" ht="19.5" hidden="1" customHeight="1" x14ac:dyDescent="0.35">
      <c r="B126" s="186" t="s">
        <v>49</v>
      </c>
      <c r="C126" s="184"/>
      <c r="D126" s="506"/>
      <c r="E126" s="233"/>
      <c r="F126" s="234"/>
      <c r="G126" s="234"/>
      <c r="H126" s="234"/>
      <c r="I126" s="234"/>
      <c r="J126" s="506"/>
      <c r="K126" s="511" t="s">
        <v>144</v>
      </c>
      <c r="L126" s="192" t="e">
        <f>IF($L$123=J142,M142,IF($L$123=J143,M143,IF($L$123=J144,M144,IF($L$123=J145,M145,IF($L$123=J146,M146,IF($L$123=J147,M147,""))))))</f>
        <v>#DIV/0!</v>
      </c>
      <c r="M126" s="165" t="s">
        <v>72</v>
      </c>
      <c r="N126" s="235">
        <f>D70</f>
        <v>0</v>
      </c>
    </row>
    <row r="127" spans="2:14" ht="18.75" hidden="1" customHeight="1" x14ac:dyDescent="0.2">
      <c r="B127" s="186"/>
      <c r="C127" s="184"/>
      <c r="D127" s="506"/>
      <c r="E127" s="276"/>
      <c r="F127" s="277"/>
      <c r="G127" s="279" t="s">
        <v>37</v>
      </c>
      <c r="H127" s="280" t="e">
        <f>$H$124*C123*$H$125*$H$123</f>
        <v>#DIV/0!</v>
      </c>
      <c r="I127" s="279" t="s">
        <v>38</v>
      </c>
      <c r="J127" s="506"/>
      <c r="K127" s="511"/>
      <c r="L127" s="192"/>
      <c r="M127" s="165"/>
      <c r="N127" s="235"/>
    </row>
    <row r="128" spans="2:14" ht="18.75" hidden="1" customHeight="1" x14ac:dyDescent="0.2">
      <c r="B128" s="186"/>
      <c r="C128" s="184"/>
      <c r="D128" s="506"/>
      <c r="E128" s="276"/>
      <c r="F128" s="277"/>
      <c r="G128" s="279" t="s">
        <v>327</v>
      </c>
      <c r="H128" s="280" t="e">
        <f>$H$124*C124*$H$125*$H$123</f>
        <v>#DIV/0!</v>
      </c>
      <c r="I128" s="279" t="s">
        <v>38</v>
      </c>
      <c r="J128" s="506"/>
      <c r="K128" s="511"/>
      <c r="L128" s="192"/>
      <c r="M128" s="165"/>
      <c r="N128" s="235"/>
    </row>
    <row r="129" spans="2:14" ht="18.75" hidden="1" customHeight="1" x14ac:dyDescent="0.2">
      <c r="B129" s="51" t="s">
        <v>20</v>
      </c>
      <c r="C129" s="187" t="s">
        <v>42</v>
      </c>
      <c r="D129" s="506"/>
      <c r="E129" s="265"/>
      <c r="F129" s="281"/>
      <c r="G129" s="279" t="s">
        <v>328</v>
      </c>
      <c r="H129" s="280" t="e">
        <f>$H$124*C125*$H$125*$H$123</f>
        <v>#DIV/0!</v>
      </c>
      <c r="I129" s="279" t="s">
        <v>38</v>
      </c>
      <c r="J129" s="506"/>
      <c r="K129" s="506"/>
      <c r="L129" s="159"/>
      <c r="M129" s="506"/>
      <c r="N129" s="202"/>
    </row>
    <row r="130" spans="2:14" ht="15.75" hidden="1" customHeight="1" x14ac:dyDescent="0.25">
      <c r="B130" s="51" t="s">
        <v>20</v>
      </c>
      <c r="C130" s="115" t="e">
        <f>(1000/D77)-10</f>
        <v>#DIV/0!</v>
      </c>
      <c r="D130" s="506"/>
      <c r="E130" s="857" t="s">
        <v>47</v>
      </c>
      <c r="F130" s="858"/>
      <c r="G130" s="858"/>
      <c r="H130" s="858"/>
      <c r="I130" s="858"/>
      <c r="J130" s="858"/>
      <c r="K130" s="858"/>
      <c r="L130" s="858"/>
      <c r="M130" s="858"/>
      <c r="N130" s="859"/>
    </row>
    <row r="131" spans="2:14" ht="19.5" hidden="1" customHeight="1" x14ac:dyDescent="0.25">
      <c r="B131" s="188" t="s">
        <v>330</v>
      </c>
      <c r="C131" s="76" t="e">
        <f>($D$11-(0.2*$C$130))^2/($D$11+(0.8*$C$130))</f>
        <v>#DIV/0!</v>
      </c>
      <c r="D131" s="506"/>
      <c r="E131" s="282"/>
      <c r="F131" s="272"/>
      <c r="G131" s="269" t="s">
        <v>61</v>
      </c>
      <c r="H131" s="273" t="e">
        <f>N133</f>
        <v>#DIV/0!</v>
      </c>
      <c r="I131" s="269" t="s">
        <v>36</v>
      </c>
      <c r="J131" s="506"/>
      <c r="K131" s="511" t="s">
        <v>141</v>
      </c>
      <c r="L131" s="190" t="e">
        <f>IF(H73&gt;0.475,$J$147,IF(H73&gt;0.425,$J$146,IF(H73&gt;0.375,$J$145,IF(H73&gt;0.325,$J$144,IF(H73&gt;0.2,$J$143,$J$142)))))</f>
        <v>#DIV/0!</v>
      </c>
      <c r="M131" s="506"/>
      <c r="N131" s="202"/>
    </row>
    <row r="132" spans="2:14" ht="19.5" hidden="1" customHeight="1" x14ac:dyDescent="0.35">
      <c r="B132" s="188" t="s">
        <v>331</v>
      </c>
      <c r="C132" s="76" t="e">
        <f>($D$12-(0.2*$C$130))^2/($D$12+(0.8*$C$130))</f>
        <v>#DIV/0!</v>
      </c>
      <c r="D132" s="506"/>
      <c r="E132" s="265"/>
      <c r="F132" s="283"/>
      <c r="G132" s="269" t="s">
        <v>62</v>
      </c>
      <c r="H132" s="275">
        <f>(H9/640)</f>
        <v>0</v>
      </c>
      <c r="I132" s="269" t="s">
        <v>63</v>
      </c>
      <c r="J132" s="506"/>
      <c r="K132" s="511" t="s">
        <v>142</v>
      </c>
      <c r="L132" s="192" t="e">
        <f>IF($L$131=J142,K142,IF($L$131=J143,K143,IF($L$131=J144,K144,IF($L$131=J145,K145,IF($L$131=J146,K146,IF($L$131=J147,K147,""))))))</f>
        <v>#DIV/0!</v>
      </c>
      <c r="M132" s="165" t="s">
        <v>145</v>
      </c>
      <c r="N132" s="202" t="e">
        <f>L132+(L133*LOG(N134))+(L134*((LOG(N134))^2))</f>
        <v>#DIV/0!</v>
      </c>
    </row>
    <row r="133" spans="2:14" ht="20.25" hidden="1" customHeight="1" thickBot="1" x14ac:dyDescent="0.4">
      <c r="B133" s="193" t="s">
        <v>332</v>
      </c>
      <c r="C133" s="138" t="e">
        <f>($D$13-(0.2*$C$130))^2/($D$13+(0.8*$C$130))</f>
        <v>#DIV/0!</v>
      </c>
      <c r="D133" s="506"/>
      <c r="E133" s="276" t="s">
        <v>151</v>
      </c>
      <c r="F133" s="277" t="e">
        <f>($H$15/$H$9)*100</f>
        <v>#DIV/0!</v>
      </c>
      <c r="G133" s="278" t="s">
        <v>169</v>
      </c>
      <c r="H133" s="273" t="e">
        <f>IF(F133&gt;4.44,$N$157,IF(F133&gt;2.44,$N$156,IF(F133&gt;0.45,$N$155,IF(F133&gt;0.144,$N$154,1))))</f>
        <v>#DIV/0!</v>
      </c>
      <c r="I133" s="279" t="s">
        <v>38</v>
      </c>
      <c r="J133" s="506"/>
      <c r="K133" s="511" t="s">
        <v>143</v>
      </c>
      <c r="L133" s="192" t="e">
        <f>IF($L$131=J142,L142,IF($L$131=J143,L143,IF($L$131=J144,L144,IF($L$131=J145,L145,IF($L$131=J146,L146,IF($L$131=J147,L147,""))))))</f>
        <v>#DIV/0!</v>
      </c>
      <c r="M133" s="165" t="s">
        <v>146</v>
      </c>
      <c r="N133" s="202" t="e">
        <f>10^N132</f>
        <v>#DIV/0!</v>
      </c>
    </row>
    <row r="134" spans="2:14" ht="19.5" hidden="1" customHeight="1" x14ac:dyDescent="0.35">
      <c r="B134" s="74"/>
      <c r="C134" s="93"/>
      <c r="D134" s="194"/>
      <c r="E134" s="276"/>
      <c r="F134" s="277"/>
      <c r="G134" s="278"/>
      <c r="H134" s="273"/>
      <c r="I134" s="279"/>
      <c r="J134" s="506"/>
      <c r="K134" s="511" t="s">
        <v>144</v>
      </c>
      <c r="L134" s="192" t="e">
        <f>IF($L$131=J142,M142,IF($L$131=J143,M143,IF($L$131=J144,M144,IF($L$131=J145,M145,IF($L$131=J146,M146,IF($L$131=J147,M147,""))))))</f>
        <v>#DIV/0!</v>
      </c>
      <c r="M134" s="165" t="s">
        <v>72</v>
      </c>
      <c r="N134" s="235">
        <f>H70</f>
        <v>0</v>
      </c>
    </row>
    <row r="135" spans="2:14" ht="18.75" hidden="1" customHeight="1" x14ac:dyDescent="0.25">
      <c r="B135" s="74"/>
      <c r="C135" s="93"/>
      <c r="D135" s="194"/>
      <c r="E135" s="276"/>
      <c r="F135" s="277"/>
      <c r="G135" s="279" t="s">
        <v>37</v>
      </c>
      <c r="H135" s="280" t="e">
        <f>$H$132*$C$131*$H$133*$H$131</f>
        <v>#DIV/0!</v>
      </c>
      <c r="I135" s="279" t="s">
        <v>38</v>
      </c>
      <c r="J135" s="506"/>
      <c r="K135" s="511"/>
      <c r="L135" s="192"/>
      <c r="M135" s="165"/>
      <c r="N135" s="235"/>
    </row>
    <row r="136" spans="2:14" ht="18.75" hidden="1" customHeight="1" x14ac:dyDescent="0.25">
      <c r="B136" s="74"/>
      <c r="C136" s="93"/>
      <c r="D136" s="194"/>
      <c r="E136" s="276"/>
      <c r="F136" s="277"/>
      <c r="G136" s="279" t="s">
        <v>327</v>
      </c>
      <c r="H136" s="280" t="e">
        <f>$H$132*$C$132*$H$133*$H$131</f>
        <v>#DIV/0!</v>
      </c>
      <c r="I136" s="279" t="s">
        <v>38</v>
      </c>
      <c r="J136" s="506"/>
      <c r="K136" s="511"/>
      <c r="L136" s="192"/>
      <c r="M136" s="165"/>
      <c r="N136" s="235"/>
    </row>
    <row r="137" spans="2:14" ht="19.5" hidden="1" customHeight="1" thickBot="1" x14ac:dyDescent="0.25">
      <c r="B137" s="195"/>
      <c r="C137" s="75"/>
      <c r="D137" s="506"/>
      <c r="E137" s="211"/>
      <c r="F137" s="501"/>
      <c r="G137" s="285" t="s">
        <v>328</v>
      </c>
      <c r="H137" s="284" t="e">
        <f>$H$132*$C$133*$H$133*$H$131</f>
        <v>#DIV/0!</v>
      </c>
      <c r="I137" s="285" t="s">
        <v>38</v>
      </c>
      <c r="J137" s="501"/>
      <c r="K137" s="501"/>
      <c r="L137" s="236"/>
      <c r="M137" s="501"/>
      <c r="N137" s="222"/>
    </row>
    <row r="138" spans="2:14" ht="15.75" hidden="1" customHeight="1" thickBot="1" x14ac:dyDescent="0.25">
      <c r="B138" s="507"/>
      <c r="C138" s="507"/>
      <c r="D138" s="507"/>
      <c r="E138" s="160"/>
      <c r="F138" s="160"/>
      <c r="G138" s="160"/>
      <c r="H138" s="507"/>
      <c r="I138" s="198"/>
      <c r="J138" s="506"/>
      <c r="K138" s="506"/>
      <c r="L138" s="159"/>
      <c r="M138" s="506"/>
      <c r="N138" s="465"/>
    </row>
    <row r="139" spans="2:14" ht="15.75" hidden="1" customHeight="1" thickBot="1" x14ac:dyDescent="0.25">
      <c r="B139" s="507"/>
      <c r="C139" s="507"/>
      <c r="D139" s="507"/>
      <c r="E139" s="160"/>
      <c r="F139" s="160"/>
      <c r="G139" s="160"/>
      <c r="H139" s="507"/>
      <c r="I139" s="198"/>
      <c r="J139" s="871" t="s">
        <v>152</v>
      </c>
      <c r="K139" s="872"/>
      <c r="L139" s="872"/>
      <c r="M139" s="873"/>
      <c r="N139" s="466"/>
    </row>
    <row r="140" spans="2:14" ht="15.75" hidden="1" customHeight="1" thickBot="1" x14ac:dyDescent="0.25">
      <c r="B140" s="840" t="s">
        <v>84</v>
      </c>
      <c r="C140" s="841"/>
      <c r="D140" s="841"/>
      <c r="E140" s="841"/>
      <c r="F140" s="841"/>
      <c r="G140" s="842"/>
      <c r="H140" s="507"/>
      <c r="I140" s="198"/>
      <c r="J140" s="874"/>
      <c r="K140" s="875"/>
      <c r="L140" s="875"/>
      <c r="M140" s="876"/>
      <c r="N140" s="467"/>
    </row>
    <row r="141" spans="2:14" ht="15.75" hidden="1" customHeight="1" thickBot="1" x14ac:dyDescent="0.25">
      <c r="B141" s="846"/>
      <c r="C141" s="847"/>
      <c r="D141" s="847"/>
      <c r="E141" s="847"/>
      <c r="F141" s="847"/>
      <c r="G141" s="848"/>
      <c r="H141" s="507"/>
      <c r="I141" s="198"/>
      <c r="J141" s="91" t="s">
        <v>135</v>
      </c>
      <c r="K141" s="92" t="s">
        <v>136</v>
      </c>
      <c r="L141" s="92" t="s">
        <v>137</v>
      </c>
      <c r="M141" s="468" t="s">
        <v>525</v>
      </c>
      <c r="N141" s="469"/>
    </row>
    <row r="142" spans="2:14" ht="15.75" hidden="1" customHeight="1" x14ac:dyDescent="0.2">
      <c r="B142" s="199" t="s">
        <v>81</v>
      </c>
      <c r="C142" s="200"/>
      <c r="D142" s="200"/>
      <c r="E142" s="200"/>
      <c r="F142" s="200"/>
      <c r="G142" s="201" t="s">
        <v>82</v>
      </c>
      <c r="H142" s="507"/>
      <c r="I142" s="198"/>
      <c r="J142" s="88">
        <v>0.1</v>
      </c>
      <c r="K142" s="87">
        <v>2.5532300000000001</v>
      </c>
      <c r="L142" s="87">
        <v>-0.61512</v>
      </c>
      <c r="M142" s="470">
        <v>-0.16403000000000001</v>
      </c>
      <c r="N142" s="469"/>
    </row>
    <row r="143" spans="2:14" ht="15" hidden="1" customHeight="1" x14ac:dyDescent="0.2">
      <c r="B143" s="178" t="s">
        <v>91</v>
      </c>
      <c r="C143" s="146"/>
      <c r="D143" s="146"/>
      <c r="E143" s="146"/>
      <c r="F143" s="146"/>
      <c r="G143" s="202">
        <v>1.0999999999999999E-2</v>
      </c>
      <c r="H143" s="507"/>
      <c r="I143" s="198"/>
      <c r="J143" s="88">
        <v>0.3</v>
      </c>
      <c r="K143" s="87">
        <v>2.4653200000000002</v>
      </c>
      <c r="L143" s="87">
        <v>-0.62256999999999996</v>
      </c>
      <c r="M143" s="470">
        <v>-0.11656999999999999</v>
      </c>
      <c r="N143" s="469"/>
    </row>
    <row r="144" spans="2:14" ht="15" hidden="1" customHeight="1" x14ac:dyDescent="0.2">
      <c r="B144" s="178" t="s">
        <v>83</v>
      </c>
      <c r="C144" s="146"/>
      <c r="D144" s="146"/>
      <c r="E144" s="146"/>
      <c r="F144" s="146"/>
      <c r="G144" s="202">
        <v>0.24</v>
      </c>
      <c r="H144" s="507"/>
      <c r="I144" s="198"/>
      <c r="J144" s="88">
        <v>0.35</v>
      </c>
      <c r="K144" s="87">
        <v>2.4189600000000002</v>
      </c>
      <c r="L144" s="87">
        <v>-0.61594000000000004</v>
      </c>
      <c r="M144" s="470">
        <v>-8.8200000000000001E-2</v>
      </c>
      <c r="N144" s="469"/>
    </row>
    <row r="145" spans="2:14" ht="15.75" hidden="1" customHeight="1" thickBot="1" x14ac:dyDescent="0.25">
      <c r="B145" s="203" t="s">
        <v>13</v>
      </c>
      <c r="C145" s="204"/>
      <c r="D145" s="204"/>
      <c r="E145" s="204"/>
      <c r="F145" s="204"/>
      <c r="G145" s="205">
        <v>0.4</v>
      </c>
      <c r="H145" s="507"/>
      <c r="I145" s="198"/>
      <c r="J145" s="88">
        <v>0.4</v>
      </c>
      <c r="K145" s="87">
        <v>2.36409</v>
      </c>
      <c r="L145" s="87">
        <v>-0.59857000000000005</v>
      </c>
      <c r="M145" s="470">
        <v>-5.6210000000000003E-2</v>
      </c>
      <c r="N145" s="471"/>
    </row>
    <row r="146" spans="2:14" ht="15.75" hidden="1" customHeight="1" thickBot="1" x14ac:dyDescent="0.25">
      <c r="B146" s="507"/>
      <c r="C146" s="507"/>
      <c r="D146" s="507"/>
      <c r="E146" s="160"/>
      <c r="F146" s="160"/>
      <c r="G146" s="160"/>
      <c r="H146" s="507"/>
      <c r="I146" s="198"/>
      <c r="J146" s="88">
        <v>0.45</v>
      </c>
      <c r="K146" s="87">
        <v>2.2923800000000001</v>
      </c>
      <c r="L146" s="87">
        <v>-0.57004999999999995</v>
      </c>
      <c r="M146" s="470">
        <v>-2.281E-2</v>
      </c>
      <c r="N146" s="472"/>
    </row>
    <row r="147" spans="2:14" ht="15.75" hidden="1" customHeight="1" thickBot="1" x14ac:dyDescent="0.25">
      <c r="B147" s="840" t="s">
        <v>216</v>
      </c>
      <c r="C147" s="841"/>
      <c r="D147" s="841"/>
      <c r="E147" s="841"/>
      <c r="F147" s="841"/>
      <c r="G147" s="842"/>
      <c r="H147" s="507"/>
      <c r="I147" s="198"/>
      <c r="J147" s="89">
        <v>0.5</v>
      </c>
      <c r="K147" s="90">
        <v>2.20282</v>
      </c>
      <c r="L147" s="90">
        <v>-0.51598999999999995</v>
      </c>
      <c r="M147" s="473">
        <v>-1.259E-2</v>
      </c>
      <c r="N147" s="474"/>
    </row>
    <row r="148" spans="2:14" ht="15.75" hidden="1" customHeight="1" thickBot="1" x14ac:dyDescent="0.25">
      <c r="B148" s="843"/>
      <c r="C148" s="844"/>
      <c r="D148" s="844"/>
      <c r="E148" s="844"/>
      <c r="F148" s="844"/>
      <c r="G148" s="845"/>
      <c r="H148" s="507"/>
      <c r="I148" s="198"/>
      <c r="J148" s="105"/>
      <c r="K148" s="112"/>
      <c r="L148" s="107"/>
      <c r="M148" s="106"/>
      <c r="N148" s="474"/>
    </row>
    <row r="149" spans="2:14" ht="15.75" hidden="1" customHeight="1" thickBot="1" x14ac:dyDescent="0.25">
      <c r="B149" s="846"/>
      <c r="C149" s="847"/>
      <c r="D149" s="847"/>
      <c r="E149" s="847"/>
      <c r="F149" s="847"/>
      <c r="G149" s="848"/>
      <c r="H149" s="507"/>
      <c r="I149" s="877" t="s">
        <v>148</v>
      </c>
      <c r="J149" s="841"/>
      <c r="K149" s="841"/>
      <c r="L149" s="841"/>
      <c r="M149" s="841"/>
      <c r="N149" s="878"/>
    </row>
    <row r="150" spans="2:14" ht="15.75" hidden="1" customHeight="1" x14ac:dyDescent="0.25">
      <c r="B150" s="207" t="s">
        <v>117</v>
      </c>
      <c r="C150" s="512"/>
      <c r="D150" s="512"/>
      <c r="E150" s="512"/>
      <c r="F150" s="512"/>
      <c r="G150" s="208" t="s">
        <v>82</v>
      </c>
      <c r="H150" s="507"/>
      <c r="I150" s="879"/>
      <c r="J150" s="844"/>
      <c r="K150" s="844"/>
      <c r="L150" s="844"/>
      <c r="M150" s="844"/>
      <c r="N150" s="880"/>
    </row>
    <row r="151" spans="2:14" ht="15.75" hidden="1" customHeight="1" thickBot="1" x14ac:dyDescent="0.25">
      <c r="B151" s="509" t="s">
        <v>118</v>
      </c>
      <c r="C151" s="506"/>
      <c r="D151" s="506"/>
      <c r="E151" s="506"/>
      <c r="F151" s="506"/>
      <c r="G151" s="202">
        <v>1.6E-2</v>
      </c>
      <c r="H151" s="507"/>
      <c r="I151" s="881"/>
      <c r="J151" s="847"/>
      <c r="K151" s="847"/>
      <c r="L151" s="847"/>
      <c r="M151" s="847"/>
      <c r="N151" s="882"/>
    </row>
    <row r="152" spans="2:14" ht="18.75" hidden="1" customHeight="1" x14ac:dyDescent="0.25">
      <c r="B152" s="509" t="s">
        <v>119</v>
      </c>
      <c r="C152" s="506"/>
      <c r="D152" s="506"/>
      <c r="E152" s="506"/>
      <c r="F152" s="506"/>
      <c r="G152" s="202">
        <v>1.2E-2</v>
      </c>
      <c r="H152" s="507"/>
      <c r="I152" s="209" t="s">
        <v>147</v>
      </c>
      <c r="J152" s="512"/>
      <c r="K152" s="512"/>
      <c r="L152" s="197"/>
      <c r="M152" s="512"/>
      <c r="N152" s="475" t="s">
        <v>526</v>
      </c>
    </row>
    <row r="153" spans="2:14" ht="15" hidden="1" customHeight="1" x14ac:dyDescent="0.2">
      <c r="B153" s="509" t="s">
        <v>120</v>
      </c>
      <c r="C153" s="506"/>
      <c r="D153" s="506"/>
      <c r="E153" s="506"/>
      <c r="F153" s="506"/>
      <c r="G153" s="202">
        <v>1.4E-2</v>
      </c>
      <c r="H153" s="507"/>
      <c r="I153" s="210">
        <v>0</v>
      </c>
      <c r="J153" s="506"/>
      <c r="K153" s="506"/>
      <c r="L153" s="160" t="s">
        <v>153</v>
      </c>
      <c r="M153" s="506"/>
      <c r="N153" s="476">
        <v>1</v>
      </c>
    </row>
    <row r="154" spans="2:14" ht="15" hidden="1" customHeight="1" x14ac:dyDescent="0.2">
      <c r="B154" s="509" t="s">
        <v>83</v>
      </c>
      <c r="C154" s="506"/>
      <c r="D154" s="506"/>
      <c r="E154" s="506"/>
      <c r="F154" s="506"/>
      <c r="G154" s="202">
        <v>3.5000000000000003E-2</v>
      </c>
      <c r="H154" s="507"/>
      <c r="I154" s="210">
        <v>0.2</v>
      </c>
      <c r="J154" s="506"/>
      <c r="K154" s="506"/>
      <c r="L154" s="159" t="s">
        <v>157</v>
      </c>
      <c r="M154" s="506"/>
      <c r="N154" s="477">
        <v>0.97</v>
      </c>
    </row>
    <row r="155" spans="2:14" ht="15" hidden="1" customHeight="1" x14ac:dyDescent="0.2">
      <c r="B155" s="509" t="s">
        <v>122</v>
      </c>
      <c r="C155" s="506"/>
      <c r="D155" s="506"/>
      <c r="E155" s="506"/>
      <c r="F155" s="506"/>
      <c r="G155" s="202">
        <v>3.3000000000000002E-2</v>
      </c>
      <c r="H155" s="507"/>
      <c r="I155" s="210">
        <v>1</v>
      </c>
      <c r="J155" s="506"/>
      <c r="K155" s="506"/>
      <c r="L155" s="159" t="s">
        <v>156</v>
      </c>
      <c r="M155" s="506"/>
      <c r="N155" s="477">
        <v>0.87</v>
      </c>
    </row>
    <row r="156" spans="2:14" ht="15.75" hidden="1" customHeight="1" thickBot="1" x14ac:dyDescent="0.25">
      <c r="B156" s="211" t="s">
        <v>121</v>
      </c>
      <c r="C156" s="501"/>
      <c r="D156" s="501"/>
      <c r="E156" s="501"/>
      <c r="F156" s="501"/>
      <c r="G156" s="213">
        <v>0.04</v>
      </c>
      <c r="H156" s="507"/>
      <c r="I156" s="210">
        <v>3</v>
      </c>
      <c r="J156" s="506"/>
      <c r="K156" s="506"/>
      <c r="L156" s="159" t="s">
        <v>155</v>
      </c>
      <c r="M156" s="506"/>
      <c r="N156" s="477">
        <v>0.75</v>
      </c>
    </row>
    <row r="157" spans="2:14" ht="15" hidden="1" customHeight="1" x14ac:dyDescent="0.2">
      <c r="B157" s="507"/>
      <c r="C157" s="507"/>
      <c r="D157" s="507"/>
      <c r="E157" s="160"/>
      <c r="F157" s="160"/>
      <c r="G157" s="160"/>
      <c r="H157" s="507"/>
      <c r="I157" s="210">
        <v>5</v>
      </c>
      <c r="J157" s="506"/>
      <c r="K157" s="506"/>
      <c r="L157" s="214" t="s">
        <v>154</v>
      </c>
      <c r="M157" s="506"/>
      <c r="N157" s="477">
        <v>0.72</v>
      </c>
    </row>
    <row r="158" spans="2:14" ht="15.75" hidden="1" customHeight="1" x14ac:dyDescent="0.25">
      <c r="B158" s="215" t="s">
        <v>46</v>
      </c>
      <c r="C158" s="216"/>
      <c r="D158" s="216"/>
      <c r="E158" s="217"/>
      <c r="F158" s="217"/>
      <c r="G158" s="217"/>
      <c r="H158" s="216"/>
      <c r="I158" s="218"/>
      <c r="J158" s="117"/>
      <c r="K158" s="116"/>
      <c r="L158" s="107"/>
      <c r="M158" s="478"/>
      <c r="N158" s="474"/>
    </row>
    <row r="159" spans="2:14" ht="15.75" hidden="1" customHeight="1" thickBot="1" x14ac:dyDescent="0.25">
      <c r="B159" s="219" t="s">
        <v>102</v>
      </c>
      <c r="C159" s="216"/>
      <c r="D159" s="216"/>
      <c r="E159" s="217"/>
      <c r="F159" s="217"/>
      <c r="G159" s="217"/>
      <c r="H159" s="216"/>
      <c r="I159" s="220"/>
      <c r="J159" s="118"/>
      <c r="K159" s="119"/>
      <c r="L159" s="108"/>
      <c r="M159" s="479"/>
      <c r="N159" s="480"/>
    </row>
    <row r="160" spans="2:14" ht="15.75" hidden="1" customHeight="1" thickTop="1" x14ac:dyDescent="0.2">
      <c r="B160" s="219" t="s">
        <v>103</v>
      </c>
      <c r="C160" s="216"/>
      <c r="D160" s="216"/>
      <c r="E160" s="217"/>
      <c r="F160" s="217"/>
      <c r="G160" s="217"/>
      <c r="H160" s="216"/>
      <c r="I160" s="216"/>
      <c r="J160" s="117"/>
      <c r="K160" s="120"/>
      <c r="L160" s="109"/>
    </row>
    <row r="161" spans="2:14" ht="15" hidden="1" customHeight="1" x14ac:dyDescent="0.2">
      <c r="B161" s="216"/>
      <c r="C161" s="216"/>
      <c r="D161" s="216"/>
      <c r="E161" s="217"/>
      <c r="F161" s="217"/>
      <c r="G161" s="217"/>
      <c r="H161" s="216"/>
      <c r="I161" s="117"/>
      <c r="J161" s="107"/>
      <c r="K161" s="106"/>
      <c r="L161" s="110"/>
    </row>
    <row r="162" spans="2:14" ht="15.75" hidden="1" customHeight="1" thickBot="1" x14ac:dyDescent="0.25">
      <c r="B162" s="216"/>
      <c r="C162" s="217"/>
      <c r="D162" s="217"/>
      <c r="E162" s="217"/>
      <c r="F162" s="216"/>
      <c r="G162" s="216"/>
      <c r="H162" s="117"/>
      <c r="I162" s="111"/>
      <c r="J162" s="105"/>
      <c r="K162" s="206"/>
      <c r="L162" s="507"/>
    </row>
    <row r="163" spans="2:14" ht="16.5" hidden="1" customHeight="1" thickBot="1" x14ac:dyDescent="0.3">
      <c r="B163" s="852" t="s">
        <v>206</v>
      </c>
      <c r="C163" s="853"/>
      <c r="D163" s="853"/>
      <c r="E163" s="853"/>
      <c r="F163" s="854"/>
      <c r="G163" s="514"/>
      <c r="H163" s="514"/>
      <c r="I163" s="507"/>
      <c r="J163" s="542"/>
      <c r="K163" s="543" t="s">
        <v>532</v>
      </c>
      <c r="L163" s="544"/>
    </row>
    <row r="164" spans="2:14" ht="15" hidden="1" customHeight="1" x14ac:dyDescent="0.2">
      <c r="B164" s="517"/>
      <c r="C164" s="510"/>
      <c r="D164" s="510"/>
      <c r="E164" s="510"/>
      <c r="F164" s="518"/>
      <c r="G164" s="514"/>
      <c r="H164" s="514"/>
      <c r="I164" s="507"/>
      <c r="J164" s="530"/>
      <c r="K164" s="512"/>
      <c r="L164" s="522"/>
    </row>
    <row r="165" spans="2:14" ht="19.5" hidden="1" customHeight="1" x14ac:dyDescent="0.35">
      <c r="B165" s="509" t="s">
        <v>533</v>
      </c>
      <c r="C165" s="510"/>
      <c r="D165" s="510"/>
      <c r="E165" s="510"/>
      <c r="F165" s="518"/>
      <c r="G165" s="508"/>
      <c r="H165" s="514"/>
      <c r="I165" s="507"/>
      <c r="J165" s="509" t="s">
        <v>534</v>
      </c>
      <c r="K165" s="506"/>
      <c r="L165" s="513"/>
    </row>
    <row r="166" spans="2:14" ht="15" hidden="1" customHeight="1" x14ac:dyDescent="0.2">
      <c r="B166" s="509"/>
      <c r="C166" s="510"/>
      <c r="D166" s="510"/>
      <c r="E166" s="510"/>
      <c r="F166" s="518"/>
      <c r="G166" s="508"/>
      <c r="H166" s="514"/>
      <c r="I166" s="507"/>
      <c r="J166" s="509" t="s">
        <v>535</v>
      </c>
      <c r="K166" s="506"/>
      <c r="L166" s="513"/>
    </row>
    <row r="167" spans="2:14" ht="15" hidden="1" customHeight="1" x14ac:dyDescent="0.2">
      <c r="B167" s="524" t="s">
        <v>536</v>
      </c>
      <c r="C167" s="549">
        <f>SUM(H25:K26)</f>
        <v>0</v>
      </c>
      <c r="D167" s="510"/>
      <c r="E167" s="524" t="s">
        <v>537</v>
      </c>
      <c r="F167" s="533">
        <f>SUM(H17:K24)</f>
        <v>0</v>
      </c>
      <c r="G167" s="547" t="s">
        <v>538</v>
      </c>
      <c r="H167" s="514"/>
      <c r="I167" s="507"/>
      <c r="J167" s="509" t="s">
        <v>539</v>
      </c>
      <c r="K167" s="506"/>
      <c r="L167" s="513"/>
    </row>
    <row r="168" spans="2:14" ht="19.5" hidden="1" customHeight="1" x14ac:dyDescent="0.35">
      <c r="B168" s="519" t="s">
        <v>540</v>
      </c>
      <c r="C168" s="515">
        <f>(1000/98)-10</f>
        <v>0.20408163265306101</v>
      </c>
      <c r="D168" s="510"/>
      <c r="E168" s="505" t="s">
        <v>380</v>
      </c>
      <c r="F168" s="520" t="e">
        <f>IF(I109&gt;64,(1000/I109)-10,0)</f>
        <v>#DIV/0!</v>
      </c>
      <c r="G168" s="514"/>
      <c r="H168" s="514"/>
      <c r="I168" s="507"/>
      <c r="J168" s="509" t="s">
        <v>541</v>
      </c>
      <c r="K168" s="506"/>
      <c r="L168" s="513"/>
    </row>
    <row r="169" spans="2:14" ht="20.25" hidden="1" customHeight="1" thickBot="1" x14ac:dyDescent="0.25">
      <c r="B169" s="519" t="s">
        <v>542</v>
      </c>
      <c r="C169" s="516">
        <f>(1-(0.2*$C$168))^2/(1+(0.8*$C$168))</f>
        <v>0.79090583601861819</v>
      </c>
      <c r="D169" s="510"/>
      <c r="E169" s="505" t="s">
        <v>381</v>
      </c>
      <c r="F169" s="548" t="e">
        <f>IF(I109&gt;64,(1-(0.2*F168))^2/(1+(0.8*F168)),0)</f>
        <v>#DIV/0!</v>
      </c>
      <c r="G169" s="514"/>
      <c r="H169" s="514"/>
      <c r="I169" s="523"/>
      <c r="J169" s="538"/>
      <c r="K169" s="511" t="s">
        <v>543</v>
      </c>
      <c r="L169" s="539" t="e">
        <f>(SUM(H25:K26))/H9</f>
        <v>#DIV/0!</v>
      </c>
      <c r="M169" s="507" t="s">
        <v>544</v>
      </c>
    </row>
    <row r="170" spans="2:14" s="497" customFormat="1" ht="24" hidden="1" customHeight="1" thickBot="1" x14ac:dyDescent="0.4">
      <c r="B170" s="524" t="s">
        <v>545</v>
      </c>
      <c r="C170" s="545">
        <f>(C169/12)*(C167*43560)</f>
        <v>0</v>
      </c>
      <c r="D170" s="511"/>
      <c r="E170" s="511" t="s">
        <v>545</v>
      </c>
      <c r="F170" s="546" t="e">
        <f>(F169/12)*(F167*43560)</f>
        <v>#DIV/0!</v>
      </c>
      <c r="G170" s="530" t="s">
        <v>546</v>
      </c>
      <c r="H170" s="521"/>
      <c r="I170" s="536"/>
      <c r="J170" s="540"/>
      <c r="K170" s="511" t="s">
        <v>547</v>
      </c>
      <c r="L170" s="539" t="e">
        <f>0.05+(0.9*L169)</f>
        <v>#DIV/0!</v>
      </c>
      <c r="M170" s="523"/>
      <c r="N170" s="523"/>
    </row>
    <row r="171" spans="2:14" s="497" customFormat="1" ht="24" hidden="1" customHeight="1" thickBot="1" x14ac:dyDescent="0.4">
      <c r="B171" s="524" t="s">
        <v>382</v>
      </c>
      <c r="C171" s="525" t="e">
        <f>(C169*C167+F169*F167)/H10</f>
        <v>#DIV/0!</v>
      </c>
      <c r="D171" s="526"/>
      <c r="E171" s="510"/>
      <c r="F171" s="518"/>
      <c r="G171" s="552" t="e">
        <f>C170+F170</f>
        <v>#DIV/0!</v>
      </c>
      <c r="H171" s="532"/>
      <c r="I171" s="506" t="s">
        <v>548</v>
      </c>
      <c r="J171" s="540"/>
      <c r="K171" s="534" t="s">
        <v>549</v>
      </c>
      <c r="L171" s="535" t="e">
        <f>3630*1*L170*H9</f>
        <v>#DIV/0!</v>
      </c>
      <c r="M171" s="523"/>
      <c r="N171" s="523"/>
    </row>
    <row r="172" spans="2:14" s="497" customFormat="1" ht="15.75" hidden="1" customHeight="1" thickBot="1" x14ac:dyDescent="0.25">
      <c r="B172" s="527"/>
      <c r="C172" s="528"/>
      <c r="D172" s="528"/>
      <c r="E172" s="528"/>
      <c r="F172" s="529"/>
      <c r="G172" s="527"/>
      <c r="H172" s="528"/>
      <c r="I172" s="537"/>
      <c r="J172" s="541"/>
      <c r="K172" s="537"/>
      <c r="L172" s="531"/>
      <c r="M172" s="523"/>
      <c r="N172" s="523"/>
    </row>
    <row r="173" spans="2:14" s="497" customFormat="1" ht="15" hidden="1" customHeight="1" x14ac:dyDescent="0.2">
      <c r="B173" s="868" t="s">
        <v>161</v>
      </c>
      <c r="C173" s="868"/>
      <c r="D173" s="868"/>
      <c r="E173" s="868"/>
      <c r="F173" s="523"/>
      <c r="G173" s="523"/>
      <c r="H173" s="523"/>
      <c r="I173" s="523"/>
      <c r="J173" s="523"/>
      <c r="K173" s="523"/>
      <c r="L173" s="523"/>
      <c r="M173" s="523"/>
      <c r="N173" s="523"/>
    </row>
    <row r="174" spans="2:14" s="497" customFormat="1" ht="15.75" hidden="1" customHeight="1" thickBot="1" x14ac:dyDescent="0.25">
      <c r="B174" s="868"/>
      <c r="C174" s="868"/>
      <c r="D174" s="868"/>
      <c r="E174" s="868"/>
      <c r="F174" s="523"/>
      <c r="G174" s="523"/>
      <c r="H174" s="523"/>
      <c r="I174" s="507"/>
      <c r="J174" s="523"/>
      <c r="K174" s="523"/>
      <c r="L174" s="523"/>
      <c r="M174" s="523"/>
      <c r="N174" s="523"/>
    </row>
    <row r="175" spans="2:14" s="497" customFormat="1" ht="16.5" hidden="1" customHeight="1" thickBot="1" x14ac:dyDescent="0.3">
      <c r="B175" s="351"/>
      <c r="C175" s="352"/>
      <c r="D175" s="353"/>
      <c r="E175" s="351"/>
      <c r="F175" s="523"/>
      <c r="G175" s="523"/>
      <c r="H175" s="523"/>
      <c r="I175" s="507" t="s">
        <v>550</v>
      </c>
      <c r="J175" s="523"/>
      <c r="K175" s="551" t="e">
        <f>IF(G171&gt;L171,G171,L171)</f>
        <v>#DIV/0!</v>
      </c>
      <c r="L175" s="507" t="s">
        <v>551</v>
      </c>
      <c r="M175" s="523"/>
      <c r="N175" s="523"/>
    </row>
    <row r="176" spans="2:14" s="497" customFormat="1" ht="19.5" hidden="1" customHeight="1" x14ac:dyDescent="0.2">
      <c r="B176" s="833" t="s">
        <v>227</v>
      </c>
      <c r="C176" s="833"/>
      <c r="D176" s="833"/>
      <c r="E176" s="833"/>
      <c r="F176" s="507"/>
      <c r="G176" s="523"/>
      <c r="H176" s="349"/>
      <c r="I176" s="350"/>
      <c r="J176" s="523"/>
      <c r="K176" s="523"/>
      <c r="L176" s="523"/>
      <c r="M176" s="523"/>
      <c r="N176" s="523"/>
    </row>
    <row r="177" spans="2:14" s="497" customFormat="1" ht="15" hidden="1" customHeight="1" x14ac:dyDescent="0.2">
      <c r="B177" s="834" t="s">
        <v>33</v>
      </c>
      <c r="C177" s="834"/>
      <c r="D177" s="834"/>
      <c r="E177" s="834"/>
      <c r="F177" s="523"/>
      <c r="G177" s="523"/>
      <c r="H177" s="523"/>
      <c r="I177" s="523"/>
      <c r="J177" s="523"/>
      <c r="K177" s="523"/>
      <c r="L177" s="523"/>
      <c r="M177" s="523"/>
      <c r="N177" s="523"/>
    </row>
    <row r="178" spans="2:14" s="497" customFormat="1" ht="19.5" hidden="1" customHeight="1" x14ac:dyDescent="0.2">
      <c r="B178" s="833" t="s">
        <v>228</v>
      </c>
      <c r="C178" s="833"/>
      <c r="D178" s="833"/>
      <c r="E178" s="833"/>
      <c r="F178" s="523"/>
      <c r="G178" s="523"/>
      <c r="H178" s="523"/>
      <c r="I178" s="523"/>
      <c r="J178" s="523"/>
      <c r="K178" s="523"/>
      <c r="L178" s="523"/>
      <c r="M178" s="523"/>
      <c r="N178" s="523"/>
    </row>
    <row r="179" spans="2:14" s="497" customFormat="1" ht="19.5" hidden="1" customHeight="1" x14ac:dyDescent="0.2">
      <c r="B179" s="833" t="s">
        <v>224</v>
      </c>
      <c r="C179" s="833"/>
      <c r="D179" s="833"/>
      <c r="E179" s="833"/>
      <c r="F179" s="523"/>
      <c r="G179" s="523"/>
      <c r="H179" s="523"/>
      <c r="I179" s="523"/>
      <c r="J179" s="523"/>
      <c r="K179" s="523"/>
      <c r="L179" s="523"/>
      <c r="M179" s="523"/>
      <c r="N179" s="523"/>
    </row>
    <row r="180" spans="2:14" s="497" customFormat="1" ht="19.5" hidden="1" customHeight="1" x14ac:dyDescent="0.2">
      <c r="B180" s="833" t="s">
        <v>162</v>
      </c>
      <c r="C180" s="833"/>
      <c r="D180" s="833"/>
      <c r="E180" s="833"/>
      <c r="F180" s="523"/>
      <c r="G180" s="523"/>
      <c r="H180" s="523"/>
      <c r="I180" s="523"/>
      <c r="J180" s="523"/>
      <c r="K180" s="523"/>
      <c r="L180" s="523"/>
      <c r="M180" s="523"/>
      <c r="N180" s="523"/>
    </row>
    <row r="181" spans="2:14" s="497" customFormat="1" ht="15" hidden="1" customHeight="1" x14ac:dyDescent="0.2">
      <c r="B181" s="835" t="s">
        <v>163</v>
      </c>
      <c r="C181" s="835"/>
      <c r="D181" s="835"/>
      <c r="E181" s="835"/>
      <c r="F181" s="523"/>
      <c r="G181" s="523"/>
      <c r="H181" s="523"/>
      <c r="I181" s="523"/>
      <c r="J181" s="523"/>
      <c r="K181" s="523"/>
      <c r="L181" s="523"/>
      <c r="M181" s="523"/>
      <c r="N181" s="523"/>
    </row>
    <row r="182" spans="2:14" s="497" customFormat="1" ht="15" hidden="1" customHeight="1" x14ac:dyDescent="0.2">
      <c r="B182" s="523"/>
      <c r="C182" s="523"/>
      <c r="D182" s="523"/>
      <c r="E182" s="523"/>
      <c r="F182" s="523"/>
      <c r="G182" s="523"/>
      <c r="H182" s="523"/>
      <c r="I182" s="523"/>
      <c r="J182" s="523"/>
      <c r="K182" s="523"/>
      <c r="L182" s="523"/>
      <c r="M182" s="523"/>
      <c r="N182" s="523"/>
    </row>
    <row r="183" spans="2:14" s="497" customFormat="1" ht="19.5" hidden="1" customHeight="1" x14ac:dyDescent="0.2">
      <c r="B183" s="354" t="s">
        <v>225</v>
      </c>
      <c r="C183" s="355" t="e">
        <f>$H$74</f>
        <v>#DIV/0!</v>
      </c>
      <c r="D183" s="356"/>
      <c r="E183" s="356"/>
      <c r="F183" s="523"/>
      <c r="G183" s="523"/>
      <c r="H183" s="523"/>
      <c r="I183" s="523"/>
      <c r="J183" s="523"/>
      <c r="K183" s="523"/>
      <c r="L183" s="523"/>
      <c r="M183" s="523"/>
      <c r="N183" s="523"/>
    </row>
    <row r="184" spans="2:14" s="139" customFormat="1" ht="19.5" hidden="1" customHeight="1" x14ac:dyDescent="0.2">
      <c r="B184" s="354" t="s">
        <v>164</v>
      </c>
      <c r="C184" s="160" t="e">
        <f>ROUND((C183-(C186/100)*98)/(1-(C186/100)),2)</f>
        <v>#DIV/0!</v>
      </c>
      <c r="D184" s="356"/>
      <c r="E184" s="356"/>
      <c r="F184" s="507"/>
      <c r="G184" s="507"/>
      <c r="H184" s="507"/>
      <c r="I184" s="507"/>
      <c r="J184" s="507"/>
      <c r="K184" s="507"/>
      <c r="L184" s="507"/>
      <c r="M184" s="507"/>
      <c r="N184" s="507"/>
    </row>
    <row r="185" spans="2:14" s="139" customFormat="1" ht="19.5" hidden="1" customHeight="1" x14ac:dyDescent="0.2">
      <c r="B185" s="354" t="s">
        <v>165</v>
      </c>
      <c r="C185" s="357" t="e">
        <f>SUM(H25:K26)/SUM(H17:K26)</f>
        <v>#DIV/0!</v>
      </c>
      <c r="D185" s="358">
        <v>0.3</v>
      </c>
      <c r="E185" s="359"/>
      <c r="F185" s="507"/>
      <c r="G185" s="507"/>
      <c r="H185" s="507"/>
      <c r="I185" s="507"/>
      <c r="J185" s="507"/>
      <c r="K185" s="507"/>
      <c r="L185" s="507"/>
      <c r="M185" s="507"/>
      <c r="N185" s="507"/>
    </row>
    <row r="186" spans="2:14" s="139" customFormat="1" ht="34.5" hidden="1" customHeight="1" x14ac:dyDescent="0.2">
      <c r="B186" s="360" t="s">
        <v>317</v>
      </c>
      <c r="C186" s="357" t="e">
        <f>IF(C185&gt;D185,D185,C185)</f>
        <v>#DIV/0!</v>
      </c>
      <c r="D186" s="359"/>
      <c r="E186" s="359"/>
      <c r="F186" s="507"/>
      <c r="G186" s="507"/>
      <c r="H186" s="507"/>
      <c r="I186" s="507"/>
      <c r="J186" s="507"/>
      <c r="K186" s="507"/>
      <c r="L186" s="507"/>
      <c r="M186" s="507"/>
      <c r="N186" s="507"/>
    </row>
    <row r="187" spans="2:14" s="139" customFormat="1" ht="15" hidden="1" customHeight="1" x14ac:dyDescent="0.2">
      <c r="B187" s="354" t="s">
        <v>166</v>
      </c>
      <c r="C187" s="361" t="str">
        <f>IF(D76&gt;0,(D76/(SUM($H$25:$K$26))),"-")</f>
        <v>-</v>
      </c>
      <c r="D187" s="362"/>
      <c r="E187" s="362"/>
      <c r="F187" s="362"/>
      <c r="G187" s="362"/>
      <c r="H187" s="362"/>
      <c r="I187" s="362"/>
      <c r="J187" s="362"/>
      <c r="K187" s="506"/>
      <c r="L187" s="507"/>
      <c r="M187" s="507"/>
      <c r="N187" s="507"/>
    </row>
    <row r="188" spans="2:14" s="139" customFormat="1" ht="19.5" hidden="1" customHeight="1" x14ac:dyDescent="0.2">
      <c r="B188" s="354" t="s">
        <v>229</v>
      </c>
      <c r="C188" s="160" t="e">
        <f>ROUND(C184+((C186/100)*(98-C184)*(1-(0.5*C187))),2)</f>
        <v>#DIV/0!</v>
      </c>
      <c r="D188" s="507"/>
      <c r="E188" s="507"/>
      <c r="F188" s="507"/>
      <c r="G188" s="507"/>
      <c r="H188" s="507"/>
      <c r="I188" s="507"/>
      <c r="J188" s="507"/>
      <c r="K188" s="507"/>
      <c r="L188" s="507"/>
      <c r="M188" s="507"/>
      <c r="N188" s="507"/>
    </row>
    <row r="189" spans="2:14" s="497" customFormat="1" ht="15" hidden="1" customHeight="1" x14ac:dyDescent="0.2">
      <c r="B189" s="523"/>
      <c r="C189" s="523"/>
      <c r="D189" s="523"/>
      <c r="E189" s="523"/>
      <c r="F189" s="523"/>
      <c r="G189" s="523"/>
      <c r="H189" s="523"/>
      <c r="I189" s="523"/>
      <c r="J189" s="523"/>
      <c r="K189" s="523"/>
      <c r="L189" s="523"/>
      <c r="M189" s="523"/>
      <c r="N189" s="523"/>
    </row>
    <row r="190" spans="2:14" s="497" customFormat="1" ht="15" hidden="1" customHeight="1" x14ac:dyDescent="0.2">
      <c r="B190" s="523"/>
      <c r="C190" s="523"/>
      <c r="D190" s="523"/>
      <c r="E190" s="523"/>
      <c r="F190" s="523"/>
      <c r="G190" s="523"/>
      <c r="H190" s="523"/>
      <c r="I190" s="523"/>
      <c r="J190" s="523"/>
      <c r="K190" s="523"/>
      <c r="L190" s="523"/>
      <c r="M190" s="523"/>
      <c r="N190" s="523"/>
    </row>
    <row r="191" spans="2:14" s="497" customFormat="1" ht="30" hidden="1" customHeight="1" x14ac:dyDescent="0.2">
      <c r="B191" s="413" t="s">
        <v>402</v>
      </c>
      <c r="C191" s="361">
        <f>SUM($H$26:$K$26)</f>
        <v>0</v>
      </c>
      <c r="D191" s="523"/>
      <c r="E191" s="362"/>
      <c r="F191" s="362"/>
      <c r="G191" s="362"/>
      <c r="H191" s="362"/>
      <c r="I191" s="362"/>
      <c r="J191" s="362"/>
      <c r="K191" s="362"/>
      <c r="L191" s="523"/>
      <c r="M191" s="523"/>
      <c r="N191" s="523"/>
    </row>
    <row r="192" spans="2:14" s="497" customFormat="1" ht="15" hidden="1" customHeight="1" x14ac:dyDescent="0.2">
      <c r="B192" s="523"/>
      <c r="C192" s="523"/>
      <c r="D192" s="523"/>
      <c r="E192" s="523"/>
      <c r="F192" s="523"/>
      <c r="G192" s="523"/>
      <c r="H192" s="523"/>
      <c r="I192" s="523"/>
      <c r="J192" s="523"/>
      <c r="K192" s="523"/>
      <c r="L192" s="523"/>
      <c r="M192" s="523"/>
      <c r="N192" s="523"/>
    </row>
    <row r="193" spans="2:14" s="497" customFormat="1" ht="15" hidden="1" customHeight="1" x14ac:dyDescent="0.2">
      <c r="B193" s="523"/>
      <c r="C193" s="523"/>
      <c r="D193" s="523"/>
      <c r="E193" s="523"/>
      <c r="F193" s="523"/>
      <c r="G193" s="523"/>
      <c r="H193" s="523"/>
      <c r="I193" s="523"/>
      <c r="J193" s="523"/>
      <c r="K193" s="523"/>
      <c r="L193" s="523"/>
      <c r="M193" s="523"/>
      <c r="N193" s="523"/>
    </row>
    <row r="194" spans="2:14" s="497" customFormat="1" ht="15" hidden="1" customHeight="1" x14ac:dyDescent="0.2">
      <c r="B194" s="523"/>
      <c r="C194" s="523"/>
      <c r="D194" s="523"/>
      <c r="E194" s="523"/>
      <c r="F194" s="523"/>
      <c r="G194" s="523"/>
      <c r="H194" s="523"/>
      <c r="I194" s="523"/>
      <c r="J194" s="523"/>
      <c r="K194" s="523"/>
      <c r="L194" s="523"/>
      <c r="M194" s="523"/>
      <c r="N194" s="523"/>
    </row>
    <row r="195" spans="2:14" s="497" customFormat="1" ht="15.75" thickTop="1" x14ac:dyDescent="0.2">
      <c r="B195" s="737" t="s">
        <v>435</v>
      </c>
      <c r="C195" s="737"/>
      <c r="D195" s="737"/>
      <c r="E195" s="737"/>
      <c r="F195" s="737"/>
      <c r="G195" s="737"/>
      <c r="H195" s="737"/>
      <c r="I195" s="737"/>
      <c r="J195" s="737"/>
      <c r="K195" s="737"/>
      <c r="L195" s="507"/>
      <c r="M195" s="523"/>
      <c r="N195" s="523"/>
    </row>
    <row r="196" spans="2:14" x14ac:dyDescent="0.2">
      <c r="B196" s="737"/>
      <c r="C196" s="737"/>
      <c r="D196" s="737"/>
      <c r="E196" s="737"/>
      <c r="F196" s="737"/>
      <c r="G196" s="737"/>
      <c r="H196" s="737"/>
      <c r="I196" s="737"/>
      <c r="J196" s="737"/>
      <c r="K196" s="737"/>
      <c r="L196" s="507"/>
    </row>
    <row r="197" spans="2:14" ht="15.75" x14ac:dyDescent="0.2">
      <c r="B197" s="738" t="s">
        <v>436</v>
      </c>
      <c r="C197" s="738"/>
      <c r="D197" s="738"/>
      <c r="E197" s="738"/>
      <c r="F197" s="738"/>
      <c r="G197" s="738"/>
      <c r="H197" s="738"/>
      <c r="I197" s="738"/>
      <c r="J197" s="738"/>
      <c r="K197" s="738"/>
      <c r="L197" s="507"/>
    </row>
    <row r="198" spans="2:14" x14ac:dyDescent="0.2">
      <c r="B198" s="737" t="s">
        <v>437</v>
      </c>
      <c r="C198" s="737"/>
      <c r="D198" s="737"/>
      <c r="E198" s="737"/>
      <c r="F198" s="737"/>
      <c r="G198" s="737"/>
      <c r="H198" s="737"/>
      <c r="I198" s="737"/>
      <c r="J198" s="737"/>
      <c r="K198" s="737"/>
      <c r="L198" s="507"/>
    </row>
    <row r="199" spans="2:14" x14ac:dyDescent="0.2">
      <c r="B199" s="737"/>
      <c r="C199" s="737"/>
      <c r="D199" s="737"/>
      <c r="E199" s="737"/>
      <c r="F199" s="737"/>
      <c r="G199" s="737"/>
      <c r="H199" s="737"/>
      <c r="I199" s="737"/>
      <c r="J199" s="737"/>
      <c r="K199" s="737"/>
    </row>
    <row r="200" spans="2:14" x14ac:dyDescent="0.2">
      <c r="B200" s="507"/>
      <c r="C200" s="507"/>
      <c r="D200" s="507"/>
      <c r="E200" s="160"/>
      <c r="F200" s="160"/>
      <c r="G200" s="160"/>
      <c r="H200" s="507"/>
      <c r="I200" s="507"/>
      <c r="J200" s="507"/>
      <c r="K200" s="507"/>
    </row>
    <row r="201" spans="2:14" x14ac:dyDescent="0.2">
      <c r="B201" s="507"/>
      <c r="C201" s="507"/>
      <c r="D201" s="507"/>
      <c r="E201" s="160"/>
      <c r="F201" s="160"/>
      <c r="G201" s="160"/>
      <c r="H201" s="507"/>
      <c r="I201" s="507"/>
      <c r="J201" s="507"/>
      <c r="K201" s="507"/>
    </row>
    <row r="202" spans="2:14" x14ac:dyDescent="0.2">
      <c r="B202" s="507"/>
      <c r="C202" s="507"/>
      <c r="D202" s="507"/>
      <c r="E202" s="160"/>
      <c r="F202" s="160"/>
      <c r="G202" s="160"/>
      <c r="H202" s="507"/>
      <c r="I202" s="507"/>
      <c r="J202" s="507"/>
      <c r="K202" s="507"/>
    </row>
    <row r="203" spans="2:14" x14ac:dyDescent="0.2">
      <c r="B203" s="507"/>
      <c r="C203" s="507"/>
      <c r="D203" s="507"/>
      <c r="E203" s="160"/>
      <c r="F203" s="160"/>
      <c r="G203" s="160"/>
      <c r="H203" s="507"/>
      <c r="I203" s="507"/>
      <c r="J203" s="507"/>
      <c r="K203" s="507"/>
    </row>
    <row r="204" spans="2:14" x14ac:dyDescent="0.2">
      <c r="B204" s="507"/>
      <c r="C204" s="507"/>
      <c r="D204" s="507"/>
      <c r="E204" s="160"/>
      <c r="F204" s="160"/>
      <c r="G204" s="160"/>
      <c r="H204" s="507"/>
      <c r="I204" s="507"/>
      <c r="J204" s="507"/>
      <c r="K204" s="507"/>
    </row>
    <row r="205" spans="2:14" x14ac:dyDescent="0.2">
      <c r="B205" s="507"/>
      <c r="C205" s="507"/>
      <c r="D205" s="507"/>
      <c r="E205" s="160"/>
      <c r="F205" s="160"/>
      <c r="G205" s="160"/>
      <c r="H205" s="507"/>
      <c r="I205" s="507"/>
      <c r="J205" s="507"/>
      <c r="K205" s="507"/>
    </row>
    <row r="206" spans="2:14" x14ac:dyDescent="0.2">
      <c r="B206" s="507"/>
      <c r="C206" s="507"/>
      <c r="D206" s="507"/>
      <c r="E206" s="160"/>
      <c r="F206" s="160"/>
      <c r="G206" s="160"/>
      <c r="H206" s="507"/>
      <c r="I206" s="507"/>
      <c r="J206" s="507"/>
      <c r="K206" s="507"/>
    </row>
    <row r="207" spans="2:14" x14ac:dyDescent="0.2">
      <c r="B207" s="507"/>
      <c r="C207" s="507"/>
      <c r="D207" s="507"/>
      <c r="E207" s="160"/>
      <c r="F207" s="160"/>
      <c r="G207" s="160"/>
      <c r="H207" s="507"/>
      <c r="I207" s="507"/>
      <c r="J207" s="507"/>
      <c r="K207" s="507"/>
    </row>
    <row r="208" spans="2:14" x14ac:dyDescent="0.2">
      <c r="B208" s="507"/>
      <c r="C208" s="507"/>
      <c r="D208" s="507"/>
      <c r="E208" s="160"/>
      <c r="F208" s="160"/>
      <c r="G208" s="160"/>
      <c r="H208" s="507"/>
      <c r="I208" s="507"/>
      <c r="J208" s="507"/>
      <c r="K208" s="507"/>
    </row>
    <row r="209" spans="2:12" x14ac:dyDescent="0.2">
      <c r="B209" s="507"/>
      <c r="C209" s="507"/>
      <c r="D209" s="507"/>
      <c r="E209" s="160"/>
      <c r="F209" s="160"/>
      <c r="G209" s="160"/>
      <c r="H209" s="507"/>
      <c r="I209" s="507"/>
      <c r="J209" s="507"/>
      <c r="K209" s="507"/>
    </row>
    <row r="210" spans="2:12" s="507" customFormat="1" x14ac:dyDescent="0.2">
      <c r="E210" s="160"/>
      <c r="F210" s="160"/>
      <c r="G210" s="160"/>
      <c r="L210" s="160"/>
    </row>
    <row r="211" spans="2:12" s="507" customFormat="1" x14ac:dyDescent="0.2">
      <c r="E211" s="160"/>
      <c r="F211" s="160"/>
      <c r="G211" s="160"/>
      <c r="L211" s="160"/>
    </row>
    <row r="212" spans="2:12" s="507" customFormat="1" x14ac:dyDescent="0.2">
      <c r="E212" s="160"/>
      <c r="F212" s="160"/>
      <c r="G212" s="160"/>
      <c r="L212" s="160"/>
    </row>
    <row r="213" spans="2:12" s="507" customFormat="1" x14ac:dyDescent="0.2">
      <c r="E213" s="160"/>
      <c r="F213" s="160"/>
      <c r="G213" s="160"/>
      <c r="L213" s="160"/>
    </row>
    <row r="214" spans="2:12" s="507" customFormat="1" x14ac:dyDescent="0.2">
      <c r="E214" s="160"/>
      <c r="F214" s="160"/>
      <c r="G214" s="160"/>
      <c r="L214" s="160"/>
    </row>
    <row r="215" spans="2:12" s="507" customFormat="1" x14ac:dyDescent="0.2">
      <c r="E215" s="160"/>
      <c r="F215" s="160"/>
      <c r="G215" s="160"/>
      <c r="L215" s="160"/>
    </row>
    <row r="216" spans="2:12" s="507" customFormat="1" x14ac:dyDescent="0.2">
      <c r="E216" s="160"/>
      <c r="F216" s="160"/>
      <c r="G216" s="160"/>
      <c r="L216" s="160"/>
    </row>
    <row r="217" spans="2:12" s="507" customFormat="1" x14ac:dyDescent="0.2">
      <c r="E217" s="160"/>
      <c r="F217" s="160"/>
      <c r="G217" s="160"/>
      <c r="L217" s="160"/>
    </row>
    <row r="218" spans="2:12" s="507" customFormat="1" x14ac:dyDescent="0.2">
      <c r="E218" s="160"/>
      <c r="F218" s="160"/>
      <c r="G218" s="160"/>
      <c r="L218" s="160"/>
    </row>
    <row r="219" spans="2:12" s="507" customFormat="1" x14ac:dyDescent="0.2">
      <c r="E219" s="160"/>
      <c r="F219" s="160"/>
      <c r="G219" s="160"/>
      <c r="L219" s="160"/>
    </row>
    <row r="220" spans="2:12" s="507" customFormat="1" x14ac:dyDescent="0.2">
      <c r="E220" s="160"/>
      <c r="F220" s="160"/>
      <c r="G220" s="160"/>
      <c r="L220" s="160"/>
    </row>
    <row r="221" spans="2:12" s="507" customFormat="1" x14ac:dyDescent="0.2">
      <c r="E221" s="160"/>
      <c r="F221" s="160"/>
      <c r="G221" s="160"/>
      <c r="L221" s="160"/>
    </row>
    <row r="222" spans="2:12" s="507" customFormat="1" x14ac:dyDescent="0.2">
      <c r="E222" s="160"/>
      <c r="F222" s="160"/>
      <c r="G222" s="160"/>
      <c r="L222" s="160"/>
    </row>
    <row r="223" spans="2:12" s="507" customFormat="1" x14ac:dyDescent="0.2">
      <c r="E223" s="160"/>
      <c r="F223" s="160"/>
      <c r="G223" s="160"/>
      <c r="L223" s="160"/>
    </row>
    <row r="224" spans="2:12" s="507" customFormat="1" x14ac:dyDescent="0.2">
      <c r="E224" s="160"/>
      <c r="F224" s="160"/>
      <c r="G224" s="160"/>
      <c r="L224" s="160"/>
    </row>
    <row r="225" spans="5:12" s="507" customFormat="1" x14ac:dyDescent="0.2">
      <c r="E225" s="160"/>
      <c r="F225" s="160"/>
      <c r="G225" s="160"/>
      <c r="L225" s="160"/>
    </row>
    <row r="226" spans="5:12" s="507" customFormat="1" x14ac:dyDescent="0.2">
      <c r="E226" s="160"/>
      <c r="F226" s="160"/>
      <c r="G226" s="160"/>
      <c r="L226" s="160"/>
    </row>
    <row r="227" spans="5:12" s="507" customFormat="1" x14ac:dyDescent="0.2">
      <c r="E227" s="160"/>
      <c r="F227" s="160"/>
      <c r="G227" s="160"/>
      <c r="L227" s="160"/>
    </row>
    <row r="228" spans="5:12" s="507" customFormat="1" x14ac:dyDescent="0.2">
      <c r="E228" s="160"/>
      <c r="F228" s="160"/>
      <c r="G228" s="160"/>
      <c r="L228" s="160"/>
    </row>
    <row r="229" spans="5:12" s="507" customFormat="1" x14ac:dyDescent="0.2">
      <c r="E229" s="160"/>
      <c r="F229" s="160"/>
      <c r="G229" s="160"/>
      <c r="L229" s="160"/>
    </row>
    <row r="230" spans="5:12" s="507" customFormat="1" x14ac:dyDescent="0.2">
      <c r="E230" s="160"/>
      <c r="F230" s="160"/>
      <c r="G230" s="160"/>
      <c r="L230" s="160"/>
    </row>
    <row r="231" spans="5:12" s="507" customFormat="1" x14ac:dyDescent="0.2">
      <c r="E231" s="160"/>
      <c r="F231" s="160"/>
      <c r="G231" s="160"/>
      <c r="L231" s="160"/>
    </row>
    <row r="232" spans="5:12" s="507" customFormat="1" x14ac:dyDescent="0.2">
      <c r="E232" s="160"/>
      <c r="F232" s="160"/>
      <c r="G232" s="160"/>
      <c r="L232" s="160"/>
    </row>
    <row r="233" spans="5:12" s="507" customFormat="1" x14ac:dyDescent="0.2">
      <c r="E233" s="160"/>
      <c r="F233" s="160"/>
      <c r="G233" s="160"/>
      <c r="L233" s="160"/>
    </row>
    <row r="234" spans="5:12" s="507" customFormat="1" x14ac:dyDescent="0.2">
      <c r="E234" s="160"/>
      <c r="F234" s="160"/>
      <c r="G234" s="160"/>
      <c r="L234" s="160"/>
    </row>
    <row r="235" spans="5:12" s="507" customFormat="1" x14ac:dyDescent="0.2">
      <c r="E235" s="160"/>
      <c r="F235" s="160"/>
      <c r="G235" s="160"/>
      <c r="L235" s="160"/>
    </row>
    <row r="236" spans="5:12" s="507" customFormat="1" x14ac:dyDescent="0.2">
      <c r="E236" s="160"/>
      <c r="F236" s="160"/>
      <c r="G236" s="160"/>
      <c r="L236" s="160"/>
    </row>
    <row r="237" spans="5:12" s="507" customFormat="1" x14ac:dyDescent="0.2">
      <c r="E237" s="160"/>
      <c r="F237" s="160"/>
      <c r="G237" s="160"/>
      <c r="L237" s="160"/>
    </row>
    <row r="238" spans="5:12" s="507" customFormat="1" x14ac:dyDescent="0.2">
      <c r="E238" s="160"/>
      <c r="F238" s="160"/>
      <c r="G238" s="160"/>
      <c r="L238" s="160"/>
    </row>
    <row r="239" spans="5:12" s="507" customFormat="1" x14ac:dyDescent="0.2">
      <c r="E239" s="160"/>
      <c r="F239" s="160"/>
      <c r="G239" s="160"/>
      <c r="L239" s="160"/>
    </row>
    <row r="240" spans="5:12" s="507" customFormat="1" x14ac:dyDescent="0.2">
      <c r="E240" s="160"/>
      <c r="F240" s="160"/>
      <c r="G240" s="160"/>
      <c r="L240" s="160"/>
    </row>
    <row r="241" spans="5:12" s="507" customFormat="1" x14ac:dyDescent="0.2">
      <c r="E241" s="160"/>
      <c r="F241" s="160"/>
      <c r="G241" s="160"/>
      <c r="L241" s="160"/>
    </row>
    <row r="242" spans="5:12" s="507" customFormat="1" x14ac:dyDescent="0.2">
      <c r="E242" s="160"/>
      <c r="F242" s="160"/>
      <c r="G242" s="160"/>
      <c r="L242" s="160"/>
    </row>
    <row r="243" spans="5:12" s="507" customFormat="1" x14ac:dyDescent="0.2">
      <c r="E243" s="160"/>
      <c r="F243" s="160"/>
      <c r="G243" s="160"/>
      <c r="L243" s="160"/>
    </row>
    <row r="244" spans="5:12" s="507" customFormat="1" x14ac:dyDescent="0.2">
      <c r="E244" s="160"/>
      <c r="F244" s="160"/>
      <c r="G244" s="160"/>
      <c r="L244" s="160"/>
    </row>
  </sheetData>
  <sheetProtection password="E421" sheet="1" objects="1" scenarios="1"/>
  <mergeCells count="251">
    <mergeCell ref="B9:C9"/>
    <mergeCell ref="D9:G9"/>
    <mergeCell ref="H9:K9"/>
    <mergeCell ref="B10:C10"/>
    <mergeCell ref="D10:G10"/>
    <mergeCell ref="H10:K10"/>
    <mergeCell ref="B1:D1"/>
    <mergeCell ref="E1:K1"/>
    <mergeCell ref="B3:K3"/>
    <mergeCell ref="B4:K4"/>
    <mergeCell ref="B8:C8"/>
    <mergeCell ref="D8:G8"/>
    <mergeCell ref="H8:K8"/>
    <mergeCell ref="B14:C14"/>
    <mergeCell ref="D14:G14"/>
    <mergeCell ref="H14:K14"/>
    <mergeCell ref="B15:C15"/>
    <mergeCell ref="D15:G15"/>
    <mergeCell ref="H15:K15"/>
    <mergeCell ref="B11:C11"/>
    <mergeCell ref="D11:K11"/>
    <mergeCell ref="B12:C12"/>
    <mergeCell ref="D12:K12"/>
    <mergeCell ref="B13:C13"/>
    <mergeCell ref="D13:K13"/>
    <mergeCell ref="B25:C25"/>
    <mergeCell ref="B26:C26"/>
    <mergeCell ref="D27:G27"/>
    <mergeCell ref="H27:K27"/>
    <mergeCell ref="B28:C28"/>
    <mergeCell ref="D28:G28"/>
    <mergeCell ref="H28:K28"/>
    <mergeCell ref="B16:C16"/>
    <mergeCell ref="L16:L24"/>
    <mergeCell ref="B17:C17"/>
    <mergeCell ref="B18:C18"/>
    <mergeCell ref="B19:C19"/>
    <mergeCell ref="B20:C20"/>
    <mergeCell ref="B21:C21"/>
    <mergeCell ref="B22:C22"/>
    <mergeCell ref="B23:C23"/>
    <mergeCell ref="B24:C24"/>
    <mergeCell ref="H31:K31"/>
    <mergeCell ref="B32:C32"/>
    <mergeCell ref="D32:G32"/>
    <mergeCell ref="H32:K32"/>
    <mergeCell ref="B33:C33"/>
    <mergeCell ref="D33:G33"/>
    <mergeCell ref="H33:K33"/>
    <mergeCell ref="L28:L29"/>
    <mergeCell ref="B29:C29"/>
    <mergeCell ref="D29:G29"/>
    <mergeCell ref="H29:K29"/>
    <mergeCell ref="B30:C30"/>
    <mergeCell ref="D30:G30"/>
    <mergeCell ref="H30:K30"/>
    <mergeCell ref="L30:L33"/>
    <mergeCell ref="B31:C31"/>
    <mergeCell ref="D31:G31"/>
    <mergeCell ref="B37:C37"/>
    <mergeCell ref="D37:G37"/>
    <mergeCell ref="H37:K37"/>
    <mergeCell ref="B38:C38"/>
    <mergeCell ref="D38:G38"/>
    <mergeCell ref="H38:K38"/>
    <mergeCell ref="B34:C34"/>
    <mergeCell ref="B35:C35"/>
    <mergeCell ref="D35:G35"/>
    <mergeCell ref="H35:K35"/>
    <mergeCell ref="B36:C36"/>
    <mergeCell ref="D36:G36"/>
    <mergeCell ref="H36:K36"/>
    <mergeCell ref="B41:C41"/>
    <mergeCell ref="D41:G41"/>
    <mergeCell ref="H41:K41"/>
    <mergeCell ref="B42:C42"/>
    <mergeCell ref="D42:G42"/>
    <mergeCell ref="H42:K42"/>
    <mergeCell ref="L38:L39"/>
    <mergeCell ref="B39:C39"/>
    <mergeCell ref="D39:G39"/>
    <mergeCell ref="H39:K39"/>
    <mergeCell ref="B40:C40"/>
    <mergeCell ref="D40:G40"/>
    <mergeCell ref="H40:K40"/>
    <mergeCell ref="B45:C45"/>
    <mergeCell ref="D45:G45"/>
    <mergeCell ref="H45:K45"/>
    <mergeCell ref="B46:C46"/>
    <mergeCell ref="D46:G46"/>
    <mergeCell ref="H46:K46"/>
    <mergeCell ref="B43:C43"/>
    <mergeCell ref="D43:G43"/>
    <mergeCell ref="H43:K43"/>
    <mergeCell ref="B44:C44"/>
    <mergeCell ref="D44:G44"/>
    <mergeCell ref="H44:K44"/>
    <mergeCell ref="B50:C50"/>
    <mergeCell ref="D50:G50"/>
    <mergeCell ref="H50:K50"/>
    <mergeCell ref="B51:C51"/>
    <mergeCell ref="D51:G51"/>
    <mergeCell ref="H51:K51"/>
    <mergeCell ref="L46:L49"/>
    <mergeCell ref="B47:C47"/>
    <mergeCell ref="D47:G47"/>
    <mergeCell ref="H47:K47"/>
    <mergeCell ref="B48:C48"/>
    <mergeCell ref="D48:G48"/>
    <mergeCell ref="H48:K48"/>
    <mergeCell ref="B49:C49"/>
    <mergeCell ref="D49:G49"/>
    <mergeCell ref="H49:K49"/>
    <mergeCell ref="B54:C54"/>
    <mergeCell ref="D54:G54"/>
    <mergeCell ref="H54:K54"/>
    <mergeCell ref="B55:C55"/>
    <mergeCell ref="D55:G55"/>
    <mergeCell ref="H55:K55"/>
    <mergeCell ref="B52:C52"/>
    <mergeCell ref="D52:G52"/>
    <mergeCell ref="H52:K52"/>
    <mergeCell ref="B53:C53"/>
    <mergeCell ref="D53:G53"/>
    <mergeCell ref="H53:K53"/>
    <mergeCell ref="B56:C56"/>
    <mergeCell ref="D56:G56"/>
    <mergeCell ref="H56:K56"/>
    <mergeCell ref="L56:L59"/>
    <mergeCell ref="B57:C57"/>
    <mergeCell ref="D57:G57"/>
    <mergeCell ref="H57:K57"/>
    <mergeCell ref="B58:C58"/>
    <mergeCell ref="D58:G58"/>
    <mergeCell ref="H58:K58"/>
    <mergeCell ref="B61:C61"/>
    <mergeCell ref="D61:G61"/>
    <mergeCell ref="H61:K61"/>
    <mergeCell ref="B62:C62"/>
    <mergeCell ref="D62:G62"/>
    <mergeCell ref="H62:K62"/>
    <mergeCell ref="B59:C59"/>
    <mergeCell ref="D59:G59"/>
    <mergeCell ref="H59:K59"/>
    <mergeCell ref="B60:C60"/>
    <mergeCell ref="D60:G60"/>
    <mergeCell ref="H60:K60"/>
    <mergeCell ref="B65:C65"/>
    <mergeCell ref="D65:G65"/>
    <mergeCell ref="H65:K65"/>
    <mergeCell ref="B66:C66"/>
    <mergeCell ref="D66:G66"/>
    <mergeCell ref="H66:K66"/>
    <mergeCell ref="B63:C63"/>
    <mergeCell ref="D63:G63"/>
    <mergeCell ref="H63:K63"/>
    <mergeCell ref="B64:C64"/>
    <mergeCell ref="D64:G64"/>
    <mergeCell ref="H64:K64"/>
    <mergeCell ref="L66:L69"/>
    <mergeCell ref="B67:C67"/>
    <mergeCell ref="D67:G67"/>
    <mergeCell ref="H67:K67"/>
    <mergeCell ref="B68:C68"/>
    <mergeCell ref="D68:G68"/>
    <mergeCell ref="H68:K68"/>
    <mergeCell ref="B69:C69"/>
    <mergeCell ref="D69:G69"/>
    <mergeCell ref="H69:K69"/>
    <mergeCell ref="B73:C73"/>
    <mergeCell ref="D73:G73"/>
    <mergeCell ref="H73:K73"/>
    <mergeCell ref="B74:C74"/>
    <mergeCell ref="D74:G74"/>
    <mergeCell ref="H74:K74"/>
    <mergeCell ref="B70:C70"/>
    <mergeCell ref="D70:G70"/>
    <mergeCell ref="H70:K70"/>
    <mergeCell ref="D71:G71"/>
    <mergeCell ref="H71:K71"/>
    <mergeCell ref="B72:C72"/>
    <mergeCell ref="D72:G72"/>
    <mergeCell ref="H72:K72"/>
    <mergeCell ref="B79:C79"/>
    <mergeCell ref="D79:K79"/>
    <mergeCell ref="B80:C80"/>
    <mergeCell ref="D80:K80"/>
    <mergeCell ref="B81:C81"/>
    <mergeCell ref="B82:C82"/>
    <mergeCell ref="D82:G82"/>
    <mergeCell ref="H82:K82"/>
    <mergeCell ref="B75:C75"/>
    <mergeCell ref="B76:C76"/>
    <mergeCell ref="D76:K76"/>
    <mergeCell ref="B77:C77"/>
    <mergeCell ref="D77:K77"/>
    <mergeCell ref="B78:C78"/>
    <mergeCell ref="B86:C86"/>
    <mergeCell ref="B87:C87"/>
    <mergeCell ref="D87:G87"/>
    <mergeCell ref="H87:K87"/>
    <mergeCell ref="B88:C88"/>
    <mergeCell ref="D88:G88"/>
    <mergeCell ref="H88:K88"/>
    <mergeCell ref="B83:C83"/>
    <mergeCell ref="D83:G83"/>
    <mergeCell ref="H83:K83"/>
    <mergeCell ref="B84:C84"/>
    <mergeCell ref="D84:K84"/>
    <mergeCell ref="B85:C85"/>
    <mergeCell ref="D85:G85"/>
    <mergeCell ref="H85:K85"/>
    <mergeCell ref="B92:C92"/>
    <mergeCell ref="D92:G92"/>
    <mergeCell ref="H92:K92"/>
    <mergeCell ref="B93:C93"/>
    <mergeCell ref="D93:G93"/>
    <mergeCell ref="H93:K93"/>
    <mergeCell ref="B89:C89"/>
    <mergeCell ref="D89:G89"/>
    <mergeCell ref="H89:K89"/>
    <mergeCell ref="B90:C90"/>
    <mergeCell ref="B91:C91"/>
    <mergeCell ref="D91:G91"/>
    <mergeCell ref="H91:K91"/>
    <mergeCell ref="B115:C115"/>
    <mergeCell ref="B116:C116"/>
    <mergeCell ref="E122:N122"/>
    <mergeCell ref="E130:N130"/>
    <mergeCell ref="J139:M140"/>
    <mergeCell ref="B140:G141"/>
    <mergeCell ref="D94:K94"/>
    <mergeCell ref="B96:L96"/>
    <mergeCell ref="B98:I98"/>
    <mergeCell ref="E109:F109"/>
    <mergeCell ref="B112:C113"/>
    <mergeCell ref="E112:N112"/>
    <mergeCell ref="E113:N113"/>
    <mergeCell ref="B198:K199"/>
    <mergeCell ref="B178:E178"/>
    <mergeCell ref="B179:E179"/>
    <mergeCell ref="B180:E180"/>
    <mergeCell ref="B181:E181"/>
    <mergeCell ref="B195:K196"/>
    <mergeCell ref="B197:K197"/>
    <mergeCell ref="B147:G149"/>
    <mergeCell ref="I149:N151"/>
    <mergeCell ref="B163:F163"/>
    <mergeCell ref="B173:E174"/>
    <mergeCell ref="B176:E176"/>
    <mergeCell ref="B177:E177"/>
  </mergeCells>
  <conditionalFormatting sqref="H88 H81 D81 D76 D83:K84 E1:K1 D46:K49 D56:K59 D66:K69 H91:K92 D32:K33 D79:K79">
    <cfRule type="cellIs" dxfId="447" priority="19" operator="lessThan">
      <formula>0.00001</formula>
    </cfRule>
  </conditionalFormatting>
  <conditionalFormatting sqref="I94:I97 F123:K129 F99:F108 D142:G146 B93 G99:I111 J94:K111 F110:F111 F114:K121 D150:F162 H131:H195 G150:G195 F131:G139 D99:E139 D81:D92 D93:H97 E81:H83 I131:K137 B94:C94 D39:K39 D72:H78 L77 D33:K33 I73:K78 I81:K82 E92:L92 E85:K91 I93:K93 D164:F195 I160:K195">
    <cfRule type="containsErrors" dxfId="446" priority="12">
      <formula>ISERROR(B33)</formula>
    </cfRule>
  </conditionalFormatting>
  <conditionalFormatting sqref="H81 D81 D83:K84 D11:K13 D79:K79">
    <cfRule type="cellIs" dxfId="445" priority="17" operator="lessThan">
      <formula>0.0001</formula>
    </cfRule>
  </conditionalFormatting>
  <conditionalFormatting sqref="H88 H81 D81 D83:K84 D67:K69 D57:K59 H91:K92 D47:K49 D79:K79">
    <cfRule type="cellIs" priority="16" operator="lessThan">
      <formula>0.00001</formula>
    </cfRule>
  </conditionalFormatting>
  <conditionalFormatting sqref="H88 D11:K13 H91:K92">
    <cfRule type="cellIs" dxfId="444" priority="15" operator="lessThan">
      <formula>0.000001</formula>
    </cfRule>
  </conditionalFormatting>
  <conditionalFormatting sqref="D38:K39">
    <cfRule type="cellIs" dxfId="443" priority="14" operator="lessThan">
      <formula>0.00001</formula>
    </cfRule>
  </conditionalFormatting>
  <conditionalFormatting sqref="L92 L77">
    <cfRule type="cellIs" dxfId="442" priority="13" operator="greaterThan">
      <formula>$G$35</formula>
    </cfRule>
  </conditionalFormatting>
  <conditionalFormatting sqref="H85:K85">
    <cfRule type="cellIs" dxfId="441" priority="18" operator="greaterThan">
      <formula>$D$85</formula>
    </cfRule>
  </conditionalFormatting>
  <conditionalFormatting sqref="D80:K80">
    <cfRule type="cellIs" dxfId="440" priority="9" operator="lessThan">
      <formula>0.00001</formula>
    </cfRule>
  </conditionalFormatting>
  <conditionalFormatting sqref="D80:K80">
    <cfRule type="cellIs" dxfId="439" priority="8" operator="lessThan">
      <formula>0.0001</formula>
    </cfRule>
  </conditionalFormatting>
  <conditionalFormatting sqref="D80:K80">
    <cfRule type="cellIs" priority="7" operator="lessThan">
      <formula>0.00001</formula>
    </cfRule>
  </conditionalFormatting>
  <conditionalFormatting sqref="D80:K80">
    <cfRule type="cellIs" dxfId="438" priority="6" operator="lessThan">
      <formula>0.00001</formula>
    </cfRule>
  </conditionalFormatting>
  <conditionalFormatting sqref="D80:K80">
    <cfRule type="cellIs" dxfId="437" priority="5" operator="lessThan">
      <formula>0.0001</formula>
    </cfRule>
  </conditionalFormatting>
  <conditionalFormatting sqref="D80:K80">
    <cfRule type="cellIs" priority="4" operator="lessThan">
      <formula>0.00001</formula>
    </cfRule>
  </conditionalFormatting>
  <conditionalFormatting sqref="D80:K80">
    <cfRule type="cellIs" dxfId="436" priority="3" operator="lessThan">
      <formula>0.00001</formula>
    </cfRule>
  </conditionalFormatting>
  <conditionalFormatting sqref="D80:K80">
    <cfRule type="cellIs" dxfId="435" priority="2" operator="lessThan">
      <formula>0.0001</formula>
    </cfRule>
  </conditionalFormatting>
  <conditionalFormatting sqref="D80:K80">
    <cfRule type="cellIs" priority="1" operator="lessThan">
      <formula>0.00001</formula>
    </cfRule>
  </conditionalFormatting>
  <dataValidations count="3">
    <dataValidation type="list" allowBlank="1" showInputMessage="1" showErrorMessage="1" sqref="D45:K45 D55:K55 D65:K65" xr:uid="{00000000-0002-0000-0600-000000000000}">
      <formula1>$B$151:$B$156</formula1>
    </dataValidation>
    <dataValidation type="list" allowBlank="1" showInputMessage="1" showErrorMessage="1" sqref="D37:K37" xr:uid="{00000000-0002-0000-0600-000001000000}">
      <formula1>$B$159:$B$160</formula1>
    </dataValidation>
    <dataValidation type="list" allowBlank="1" showInputMessage="1" showErrorMessage="1" sqref="D31 H31" xr:uid="{00000000-0002-0000-0600-000002000000}">
      <formula1>$B$143:$B$145</formula1>
    </dataValidation>
  </dataValidations>
  <hyperlinks>
    <hyperlink ref="L12" location="PPT" display="From Site Data" xr:uid="{00000000-0004-0000-0600-000000000000}"/>
    <hyperlink ref="L38" location="VELOCITY" display="See Shallow Flow Calculations" xr:uid="{00000000-0004-0000-0600-000001000000}"/>
    <hyperlink ref="L46" location="mannings_channel" display="See Channel Flow" xr:uid="{00000000-0004-0000-0600-000002000000}"/>
    <hyperlink ref="L38:L39" location="SHALLOW" display="See Shallow Flow Calculations" xr:uid="{00000000-0004-0000-0600-000003000000}"/>
    <hyperlink ref="L46:L49" location="CHANNEL" display="See Open Channel Flow" xr:uid="{00000000-0004-0000-0600-000004000000}"/>
    <hyperlink ref="L56" location="mannings_channel" display="See Channel Flow" xr:uid="{00000000-0004-0000-0600-000005000000}"/>
    <hyperlink ref="L56:L59" location="CHANNEL" display="See Open Channel Flow" xr:uid="{00000000-0004-0000-0600-000006000000}"/>
    <hyperlink ref="L66" location="mannings_channel" display="See Channel Flow" xr:uid="{00000000-0004-0000-0600-000007000000}"/>
    <hyperlink ref="L66:L69" location="CHANNEL" display="See Open Channel Flow" xr:uid="{00000000-0004-0000-0600-000008000000}"/>
    <hyperlink ref="L30:L33" location="SHEET" display="See Sheet Flow Calculations" xr:uid="{00000000-0004-0000-0600-000009000000}"/>
    <hyperlink ref="L74" location="WCN" display="See Weighted Curve Number" xr:uid="{00000000-0004-0000-0600-00000A000000}"/>
    <hyperlink ref="L70" location="Tc" display="See Tc" xr:uid="{00000000-0004-0000-0600-00000B000000}"/>
    <hyperlink ref="L16:L24" location="WCN" display="See Weighted Curve Number" xr:uid="{00000000-0004-0000-0600-00000C000000}"/>
    <hyperlink ref="L82" location="SCS" display="See SCS Runoff Method" xr:uid="{00000000-0004-0000-0600-00000D000000}"/>
    <hyperlink ref="L79" location="hd" display="See Discrete Runoff Method" xr:uid="{00000000-0004-0000-0600-00000E000000}"/>
    <hyperlink ref="L87" location="SCS" display="See SCS Runoff Method" xr:uid="{00000000-0004-0000-0600-00000F000000}"/>
    <hyperlink ref="L91" location="SCS" display="See SCS Runoff Method" xr:uid="{00000000-0004-0000-0600-000010000000}"/>
    <hyperlink ref="L85" location="PEAK" display="See Peak Flow Calculations" xr:uid="{00000000-0004-0000-0600-000011000000}"/>
    <hyperlink ref="L89" location="PEAK" display="See Peak Flow Calculations" xr:uid="{00000000-0004-0000-0600-000012000000}"/>
    <hyperlink ref="L76" location="Disconnected" display="See Disconnected Impervious Calculation" xr:uid="{00000000-0004-0000-0600-000013000000}"/>
    <hyperlink ref="B195:K196" location="'DA2'!A1" display="CLICK TO ADD ANOTHER DRAINAGE AREA" xr:uid="{00000000-0004-0000-0600-000014000000}"/>
    <hyperlink ref="B198:K199" location="'SITE SUMMARY'!A1" display="CONTINUE TO SITE SUMMARY" xr:uid="{00000000-0004-0000-0600-000015000000}"/>
    <hyperlink ref="L80" location="hd" display="See Discrete Runoff Method" xr:uid="{00000000-0004-0000-0600-000016000000}"/>
  </hyperlinks>
  <printOptions horizontalCentered="1"/>
  <pageMargins left="0.7" right="0.7" top="0.75" bottom="0.75" header="0.3" footer="0.3"/>
  <pageSetup scale="54" fitToHeight="2" orientation="portrait" copies="5" r:id="rId1"/>
  <headerFooter>
    <oddFooter>&amp;A&amp;RPage &amp;P</oddFooter>
  </headerFooter>
  <rowBreaks count="1" manualBreakCount="1">
    <brk id="49" min="1" max="10"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A244"/>
  <sheetViews>
    <sheetView showRowColHeaders="0" zoomScale="85" zoomScaleNormal="85" workbookViewId="0">
      <selection activeCell="D70" sqref="D70:K70"/>
    </sheetView>
  </sheetViews>
  <sheetFormatPr defaultRowHeight="15" x14ac:dyDescent="0.2"/>
  <cols>
    <col min="1" max="1" width="3.77734375" style="507" customWidth="1"/>
    <col min="2" max="2" width="25.6640625" style="161" customWidth="1"/>
    <col min="3" max="3" width="17.33203125" style="161" customWidth="1"/>
    <col min="4" max="4" width="8.6640625" style="161" customWidth="1"/>
    <col min="5" max="7" width="8.6640625" style="223" customWidth="1"/>
    <col min="8" max="11" width="8.6640625" style="161" customWidth="1"/>
    <col min="12" max="12" width="37.109375" style="160" bestFit="1" customWidth="1"/>
    <col min="13" max="27" width="8.88671875" style="507"/>
    <col min="28" max="16384" width="8.88671875" style="161"/>
  </cols>
  <sheetData>
    <row r="1" spans="2:12" ht="16.5" thickBot="1" x14ac:dyDescent="0.3">
      <c r="B1" s="787" t="s">
        <v>31</v>
      </c>
      <c r="C1" s="787"/>
      <c r="D1" s="787"/>
      <c r="E1" s="788">
        <f>'SITE DATA'!F9</f>
        <v>0</v>
      </c>
      <c r="F1" s="789"/>
      <c r="G1" s="789"/>
      <c r="H1" s="789"/>
      <c r="I1" s="789"/>
      <c r="J1" s="789"/>
      <c r="K1" s="790"/>
    </row>
    <row r="2" spans="2:12" x14ac:dyDescent="0.2">
      <c r="B2" s="507"/>
      <c r="C2" s="507"/>
      <c r="D2" s="507"/>
      <c r="E2" s="160"/>
      <c r="F2" s="160"/>
      <c r="G2" s="160"/>
      <c r="H2" s="507"/>
      <c r="I2" s="507"/>
      <c r="J2" s="507"/>
      <c r="K2" s="507"/>
    </row>
    <row r="3" spans="2:12" ht="18" x14ac:dyDescent="0.25">
      <c r="B3" s="797" t="s">
        <v>398</v>
      </c>
      <c r="C3" s="797"/>
      <c r="D3" s="797"/>
      <c r="E3" s="797"/>
      <c r="F3" s="797"/>
      <c r="G3" s="797"/>
      <c r="H3" s="797"/>
      <c r="I3" s="797"/>
      <c r="J3" s="797"/>
      <c r="K3" s="797"/>
      <c r="L3" s="162"/>
    </row>
    <row r="4" spans="2:12" ht="18" x14ac:dyDescent="0.25">
      <c r="B4" s="797" t="s">
        <v>8</v>
      </c>
      <c r="C4" s="797"/>
      <c r="D4" s="797"/>
      <c r="E4" s="797"/>
      <c r="F4" s="797"/>
      <c r="G4" s="797"/>
      <c r="H4" s="797"/>
      <c r="I4" s="797"/>
      <c r="J4" s="797"/>
      <c r="K4" s="797"/>
      <c r="L4" s="162"/>
    </row>
    <row r="5" spans="2:12" x14ac:dyDescent="0.2">
      <c r="B5" s="507"/>
      <c r="C5" s="507"/>
      <c r="D5" s="507"/>
      <c r="E5" s="160"/>
      <c r="F5" s="160"/>
      <c r="G5" s="160"/>
      <c r="H5" s="507"/>
      <c r="I5" s="507"/>
      <c r="J5" s="507"/>
      <c r="K5" s="507"/>
    </row>
    <row r="6" spans="2:12" x14ac:dyDescent="0.2">
      <c r="B6" s="507"/>
      <c r="C6" s="507"/>
      <c r="D6" s="507"/>
      <c r="E6" s="160"/>
      <c r="F6" s="160"/>
      <c r="G6" s="160"/>
      <c r="H6" s="507"/>
      <c r="I6" s="507"/>
      <c r="J6" s="507"/>
      <c r="K6" s="507"/>
    </row>
    <row r="7" spans="2:12" ht="15.75" thickBot="1" x14ac:dyDescent="0.25">
      <c r="B7" s="507"/>
      <c r="C7" s="507"/>
      <c r="D7" s="507"/>
      <c r="E7" s="160"/>
      <c r="F7" s="160"/>
      <c r="G7" s="160"/>
      <c r="H7" s="507"/>
      <c r="I7" s="507"/>
      <c r="J7" s="507"/>
      <c r="K7" s="507"/>
    </row>
    <row r="8" spans="2:12" ht="24.95" customHeight="1" thickTop="1" thickBot="1" x14ac:dyDescent="0.3">
      <c r="B8" s="801" t="s">
        <v>263</v>
      </c>
      <c r="C8" s="802"/>
      <c r="D8" s="798" t="s">
        <v>9</v>
      </c>
      <c r="E8" s="798"/>
      <c r="F8" s="798"/>
      <c r="G8" s="798"/>
      <c r="H8" s="798" t="s">
        <v>30</v>
      </c>
      <c r="I8" s="798"/>
      <c r="J8" s="798"/>
      <c r="K8" s="798"/>
      <c r="L8" s="238" t="s">
        <v>319</v>
      </c>
    </row>
    <row r="9" spans="2:12" ht="24.95" customHeight="1" thickTop="1" x14ac:dyDescent="0.2">
      <c r="B9" s="754" t="s">
        <v>92</v>
      </c>
      <c r="C9" s="791"/>
      <c r="D9" s="799"/>
      <c r="E9" s="725"/>
      <c r="F9" s="725"/>
      <c r="G9" s="800"/>
      <c r="H9" s="774"/>
      <c r="I9" s="775"/>
      <c r="J9" s="775"/>
      <c r="K9" s="776"/>
      <c r="L9" s="163" t="s">
        <v>486</v>
      </c>
    </row>
    <row r="10" spans="2:12" ht="24.95" customHeight="1" x14ac:dyDescent="0.2">
      <c r="B10" s="754" t="s">
        <v>93</v>
      </c>
      <c r="C10" s="791"/>
      <c r="D10" s="799"/>
      <c r="E10" s="725"/>
      <c r="F10" s="725"/>
      <c r="G10" s="800"/>
      <c r="H10" s="799"/>
      <c r="I10" s="725"/>
      <c r="J10" s="725"/>
      <c r="K10" s="800"/>
      <c r="L10" s="163"/>
    </row>
    <row r="11" spans="2:12" ht="24.95" customHeight="1" x14ac:dyDescent="0.2">
      <c r="B11" s="754" t="s">
        <v>226</v>
      </c>
      <c r="C11" s="791"/>
      <c r="D11" s="803">
        <f>'SITE DATA'!$F$26</f>
        <v>0</v>
      </c>
      <c r="E11" s="683"/>
      <c r="F11" s="683"/>
      <c r="G11" s="683"/>
      <c r="H11" s="683"/>
      <c r="I11" s="683"/>
      <c r="J11" s="683"/>
      <c r="K11" s="804"/>
      <c r="L11" s="566"/>
    </row>
    <row r="12" spans="2:12" ht="24.95" customHeight="1" x14ac:dyDescent="0.2">
      <c r="B12" s="754" t="s">
        <v>329</v>
      </c>
      <c r="C12" s="791"/>
      <c r="D12" s="803">
        <f>'SITE DATA'!$F$27</f>
        <v>0</v>
      </c>
      <c r="E12" s="683"/>
      <c r="F12" s="683"/>
      <c r="G12" s="683"/>
      <c r="H12" s="683"/>
      <c r="I12" s="683"/>
      <c r="J12" s="683"/>
      <c r="K12" s="804"/>
      <c r="L12" s="566" t="s">
        <v>266</v>
      </c>
    </row>
    <row r="13" spans="2:12" ht="24.95" customHeight="1" x14ac:dyDescent="0.2">
      <c r="B13" s="754" t="s">
        <v>375</v>
      </c>
      <c r="C13" s="791"/>
      <c r="D13" s="803">
        <f>'SITE DATA'!$F$28</f>
        <v>0</v>
      </c>
      <c r="E13" s="683"/>
      <c r="F13" s="683"/>
      <c r="G13" s="683"/>
      <c r="H13" s="683"/>
      <c r="I13" s="683"/>
      <c r="J13" s="683"/>
      <c r="K13" s="804"/>
      <c r="L13" s="566"/>
    </row>
    <row r="14" spans="2:12" ht="24.95" customHeight="1" x14ac:dyDescent="0.2">
      <c r="B14" s="754" t="s">
        <v>307</v>
      </c>
      <c r="C14" s="791"/>
      <c r="D14" s="792"/>
      <c r="E14" s="793"/>
      <c r="F14" s="793"/>
      <c r="G14" s="793"/>
      <c r="H14" s="793"/>
      <c r="I14" s="793"/>
      <c r="J14" s="793"/>
      <c r="K14" s="793"/>
      <c r="L14" s="163"/>
    </row>
    <row r="15" spans="2:12" ht="24.95" customHeight="1" x14ac:dyDescent="0.2">
      <c r="B15" s="754" t="s">
        <v>306</v>
      </c>
      <c r="C15" s="791"/>
      <c r="D15" s="793"/>
      <c r="E15" s="793"/>
      <c r="F15" s="793"/>
      <c r="G15" s="793"/>
      <c r="H15" s="793"/>
      <c r="I15" s="793"/>
      <c r="J15" s="793"/>
      <c r="K15" s="793"/>
      <c r="L15" s="163"/>
    </row>
    <row r="16" spans="2:12" ht="24.95" customHeight="1" x14ac:dyDescent="0.2">
      <c r="B16" s="784" t="s">
        <v>487</v>
      </c>
      <c r="C16" s="785"/>
      <c r="D16" s="429" t="s">
        <v>15</v>
      </c>
      <c r="E16" s="430" t="s">
        <v>16</v>
      </c>
      <c r="F16" s="430" t="s">
        <v>18</v>
      </c>
      <c r="G16" s="431" t="s">
        <v>17</v>
      </c>
      <c r="H16" s="432" t="s">
        <v>15</v>
      </c>
      <c r="I16" s="430" t="s">
        <v>16</v>
      </c>
      <c r="J16" s="430" t="s">
        <v>18</v>
      </c>
      <c r="K16" s="431" t="s">
        <v>17</v>
      </c>
      <c r="L16" s="766" t="s">
        <v>177</v>
      </c>
    </row>
    <row r="17" spans="2:12" ht="24.95" customHeight="1" x14ac:dyDescent="0.2">
      <c r="B17" s="754" t="s">
        <v>12</v>
      </c>
      <c r="C17" s="791"/>
      <c r="D17" s="428"/>
      <c r="E17" s="416"/>
      <c r="F17" s="416"/>
      <c r="G17" s="427"/>
      <c r="H17" s="428"/>
      <c r="I17" s="416"/>
      <c r="J17" s="416"/>
      <c r="K17" s="427"/>
      <c r="L17" s="766"/>
    </row>
    <row r="18" spans="2:12" ht="24.95" customHeight="1" x14ac:dyDescent="0.2">
      <c r="B18" s="754" t="s">
        <v>253</v>
      </c>
      <c r="C18" s="791"/>
      <c r="D18" s="428"/>
      <c r="E18" s="416"/>
      <c r="F18" s="416"/>
      <c r="G18" s="427"/>
      <c r="H18" s="428"/>
      <c r="I18" s="416"/>
      <c r="J18" s="416"/>
      <c r="K18" s="427"/>
      <c r="L18" s="766"/>
    </row>
    <row r="19" spans="2:12" ht="24.95" customHeight="1" x14ac:dyDescent="0.2">
      <c r="B19" s="754" t="s">
        <v>260</v>
      </c>
      <c r="C19" s="791"/>
      <c r="D19" s="428"/>
      <c r="E19" s="416"/>
      <c r="F19" s="416"/>
      <c r="G19" s="427"/>
      <c r="H19" s="428"/>
      <c r="I19" s="416"/>
      <c r="J19" s="416"/>
      <c r="K19" s="427"/>
      <c r="L19" s="766"/>
    </row>
    <row r="20" spans="2:12" ht="24.95" customHeight="1" x14ac:dyDescent="0.2">
      <c r="B20" s="754" t="s">
        <v>259</v>
      </c>
      <c r="C20" s="791"/>
      <c r="D20" s="428"/>
      <c r="E20" s="416"/>
      <c r="F20" s="416"/>
      <c r="G20" s="427"/>
      <c r="H20" s="428"/>
      <c r="I20" s="416"/>
      <c r="J20" s="416"/>
      <c r="K20" s="427"/>
      <c r="L20" s="766"/>
    </row>
    <row r="21" spans="2:12" ht="24.95" customHeight="1" x14ac:dyDescent="0.2">
      <c r="B21" s="754" t="s">
        <v>255</v>
      </c>
      <c r="C21" s="791"/>
      <c r="D21" s="428"/>
      <c r="E21" s="416"/>
      <c r="F21" s="416"/>
      <c r="G21" s="427"/>
      <c r="H21" s="428"/>
      <c r="I21" s="416"/>
      <c r="J21" s="416"/>
      <c r="K21" s="427"/>
      <c r="L21" s="766"/>
    </row>
    <row r="22" spans="2:12" ht="24.95" customHeight="1" x14ac:dyDescent="0.2">
      <c r="B22" s="754" t="s">
        <v>262</v>
      </c>
      <c r="C22" s="791"/>
      <c r="D22" s="428"/>
      <c r="E22" s="416"/>
      <c r="F22" s="416"/>
      <c r="G22" s="427"/>
      <c r="H22" s="428"/>
      <c r="I22" s="416"/>
      <c r="J22" s="416"/>
      <c r="K22" s="427"/>
      <c r="L22" s="766"/>
    </row>
    <row r="23" spans="2:12" ht="24.95" customHeight="1" x14ac:dyDescent="0.2">
      <c r="B23" s="754" t="s">
        <v>261</v>
      </c>
      <c r="C23" s="791"/>
      <c r="D23" s="428"/>
      <c r="E23" s="416"/>
      <c r="F23" s="416"/>
      <c r="G23" s="427"/>
      <c r="H23" s="428"/>
      <c r="I23" s="416"/>
      <c r="J23" s="416"/>
      <c r="K23" s="427"/>
      <c r="L23" s="766"/>
    </row>
    <row r="24" spans="2:12" ht="24.95" customHeight="1" x14ac:dyDescent="0.2">
      <c r="B24" s="754" t="s">
        <v>245</v>
      </c>
      <c r="C24" s="791"/>
      <c r="D24" s="428"/>
      <c r="E24" s="416"/>
      <c r="F24" s="416"/>
      <c r="G24" s="427"/>
      <c r="H24" s="428"/>
      <c r="I24" s="416"/>
      <c r="J24" s="416"/>
      <c r="K24" s="427"/>
      <c r="L24" s="766"/>
    </row>
    <row r="25" spans="2:12" ht="24.95" customHeight="1" x14ac:dyDescent="0.25">
      <c r="B25" s="754" t="s">
        <v>369</v>
      </c>
      <c r="C25" s="791"/>
      <c r="D25" s="428"/>
      <c r="E25" s="416"/>
      <c r="F25" s="416"/>
      <c r="G25" s="427"/>
      <c r="H25" s="428"/>
      <c r="I25" s="416"/>
      <c r="J25" s="416"/>
      <c r="K25" s="427"/>
      <c r="L25" s="417"/>
    </row>
    <row r="26" spans="2:12" ht="24.95" customHeight="1" thickBot="1" x14ac:dyDescent="0.3">
      <c r="B26" s="830" t="s">
        <v>368</v>
      </c>
      <c r="C26" s="831"/>
      <c r="D26" s="433"/>
      <c r="E26" s="434"/>
      <c r="F26" s="434"/>
      <c r="G26" s="435"/>
      <c r="H26" s="433"/>
      <c r="I26" s="434"/>
      <c r="J26" s="434"/>
      <c r="K26" s="435"/>
      <c r="L26" s="417" t="str">
        <f>IF(OR(SUM($H$17:$K$26)&gt;$H$10,SUM($H$17:$K$26)&lt;$H$10),"LAND USE MUST MATCH SITE ACREAGE","")</f>
        <v/>
      </c>
    </row>
    <row r="27" spans="2:12" ht="24.95" customHeight="1" thickTop="1" thickBot="1" x14ac:dyDescent="0.25">
      <c r="B27" s="443" t="s">
        <v>264</v>
      </c>
      <c r="C27" s="444"/>
      <c r="D27" s="805" t="s">
        <v>56</v>
      </c>
      <c r="E27" s="805"/>
      <c r="F27" s="805"/>
      <c r="G27" s="805"/>
      <c r="H27" s="805" t="s">
        <v>57</v>
      </c>
      <c r="I27" s="805"/>
      <c r="J27" s="805"/>
      <c r="K27" s="805"/>
      <c r="L27" s="418"/>
    </row>
    <row r="28" spans="2:12" ht="24.95" customHeight="1" thickTop="1" x14ac:dyDescent="0.2">
      <c r="B28" s="795" t="s">
        <v>404</v>
      </c>
      <c r="C28" s="796"/>
      <c r="D28" s="794"/>
      <c r="E28" s="794"/>
      <c r="F28" s="794"/>
      <c r="G28" s="794"/>
      <c r="H28" s="794"/>
      <c r="I28" s="794"/>
      <c r="J28" s="794"/>
      <c r="K28" s="794"/>
      <c r="L28" s="736"/>
    </row>
    <row r="29" spans="2:12" ht="24.95" customHeight="1" x14ac:dyDescent="0.2">
      <c r="B29" s="770" t="s">
        <v>87</v>
      </c>
      <c r="C29" s="771"/>
      <c r="D29" s="774"/>
      <c r="E29" s="775"/>
      <c r="F29" s="775"/>
      <c r="G29" s="776"/>
      <c r="H29" s="774"/>
      <c r="I29" s="775"/>
      <c r="J29" s="775"/>
      <c r="K29" s="776"/>
      <c r="L29" s="736"/>
    </row>
    <row r="30" spans="2:12" ht="24.95" customHeight="1" x14ac:dyDescent="0.2">
      <c r="B30" s="770" t="s">
        <v>88</v>
      </c>
      <c r="C30" s="771"/>
      <c r="D30" s="777"/>
      <c r="E30" s="778"/>
      <c r="F30" s="778"/>
      <c r="G30" s="779"/>
      <c r="H30" s="777"/>
      <c r="I30" s="778"/>
      <c r="J30" s="778"/>
      <c r="K30" s="779"/>
      <c r="L30" s="766" t="s">
        <v>95</v>
      </c>
    </row>
    <row r="31" spans="2:12" ht="24.95" customHeight="1" x14ac:dyDescent="0.2">
      <c r="B31" s="770" t="s">
        <v>60</v>
      </c>
      <c r="C31" s="771"/>
      <c r="D31" s="774"/>
      <c r="E31" s="775"/>
      <c r="F31" s="775"/>
      <c r="G31" s="776"/>
      <c r="H31" s="774"/>
      <c r="I31" s="775"/>
      <c r="J31" s="775"/>
      <c r="K31" s="776"/>
      <c r="L31" s="766"/>
    </row>
    <row r="32" spans="2:12" ht="24.95" customHeight="1" x14ac:dyDescent="0.2">
      <c r="B32" s="781" t="s">
        <v>86</v>
      </c>
      <c r="C32" s="782"/>
      <c r="D32" s="769" t="str">
        <f>IF(D31=$B$143,$G$143,IF(D31=$B$144,$G$144,IF(D31=$B$145,$G$145,"")))</f>
        <v/>
      </c>
      <c r="E32" s="769"/>
      <c r="F32" s="769"/>
      <c r="G32" s="769"/>
      <c r="H32" s="769" t="str">
        <f>IF(H31=$B$143,$G$143,IF(H31=$B$144,$G$144,IF(H31=$B$145,$G$145,"")))</f>
        <v/>
      </c>
      <c r="I32" s="769"/>
      <c r="J32" s="769"/>
      <c r="K32" s="769"/>
      <c r="L32" s="766"/>
    </row>
    <row r="33" spans="2:12" ht="24.95" customHeight="1" x14ac:dyDescent="0.2">
      <c r="B33" s="770" t="s">
        <v>89</v>
      </c>
      <c r="C33" s="780"/>
      <c r="D33" s="769">
        <f>IF(D29&gt;0,(0.007*(D32*D29)^0.8)/(($D$11^0.5)*(D30^0.4)),0)</f>
        <v>0</v>
      </c>
      <c r="E33" s="769"/>
      <c r="F33" s="769"/>
      <c r="G33" s="769"/>
      <c r="H33" s="769">
        <f>IF(H29&gt;0,(0.007*(H32*H29)^0.8)/(($D$11^0.5)*(H30^0.4)),0)</f>
        <v>0</v>
      </c>
      <c r="I33" s="769"/>
      <c r="J33" s="769"/>
      <c r="K33" s="769"/>
      <c r="L33" s="766"/>
    </row>
    <row r="34" spans="2:12" ht="24.95" customHeight="1" x14ac:dyDescent="0.2">
      <c r="B34" s="795" t="s">
        <v>405</v>
      </c>
      <c r="C34" s="796"/>
      <c r="D34" s="570"/>
      <c r="E34" s="570"/>
      <c r="F34" s="570"/>
      <c r="G34" s="570"/>
      <c r="H34" s="570"/>
      <c r="I34" s="570"/>
      <c r="J34" s="570"/>
      <c r="K34" s="571"/>
      <c r="L34" s="419"/>
    </row>
    <row r="35" spans="2:12" ht="24.95" customHeight="1" x14ac:dyDescent="0.2">
      <c r="B35" s="770" t="s">
        <v>87</v>
      </c>
      <c r="C35" s="771"/>
      <c r="D35" s="774"/>
      <c r="E35" s="775"/>
      <c r="F35" s="775"/>
      <c r="G35" s="776"/>
      <c r="H35" s="774"/>
      <c r="I35" s="775"/>
      <c r="J35" s="775"/>
      <c r="K35" s="776"/>
      <c r="L35" s="163"/>
    </row>
    <row r="36" spans="2:12" ht="24.95" customHeight="1" x14ac:dyDescent="0.2">
      <c r="B36" s="770" t="s">
        <v>88</v>
      </c>
      <c r="C36" s="771"/>
      <c r="D36" s="777"/>
      <c r="E36" s="778"/>
      <c r="F36" s="778"/>
      <c r="G36" s="779"/>
      <c r="H36" s="777"/>
      <c r="I36" s="778"/>
      <c r="J36" s="778"/>
      <c r="K36" s="779"/>
      <c r="L36" s="163"/>
    </row>
    <row r="37" spans="2:12" ht="24.95" customHeight="1" x14ac:dyDescent="0.2">
      <c r="B37" s="770" t="s">
        <v>60</v>
      </c>
      <c r="C37" s="771"/>
      <c r="D37" s="774"/>
      <c r="E37" s="775"/>
      <c r="F37" s="775"/>
      <c r="G37" s="776"/>
      <c r="H37" s="774"/>
      <c r="I37" s="775"/>
      <c r="J37" s="775"/>
      <c r="K37" s="776"/>
      <c r="L37" s="163"/>
    </row>
    <row r="38" spans="2:12" ht="24.95" customHeight="1" x14ac:dyDescent="0.2">
      <c r="B38" s="781" t="s">
        <v>96</v>
      </c>
      <c r="C38" s="782"/>
      <c r="D38" s="783">
        <f>IF(D37="Unpaved",16.1345*D36^0.5,IF(D37="Paved",20.32828*D36^0.5,0))</f>
        <v>0</v>
      </c>
      <c r="E38" s="783"/>
      <c r="F38" s="783"/>
      <c r="G38" s="783"/>
      <c r="H38" s="783">
        <f>IF(H37="Unpaved",16.1345*H36^0.5,IF(H37="Paved",20.32828*H36^0.5,0))</f>
        <v>0</v>
      </c>
      <c r="I38" s="783"/>
      <c r="J38" s="783"/>
      <c r="K38" s="783"/>
      <c r="L38" s="766" t="s">
        <v>131</v>
      </c>
    </row>
    <row r="39" spans="2:12" ht="24.95" customHeight="1" x14ac:dyDescent="0.2">
      <c r="B39" s="770" t="s">
        <v>89</v>
      </c>
      <c r="C39" s="780"/>
      <c r="D39" s="783">
        <f>IF(D38&gt;0,D35/(3600*D38),0)</f>
        <v>0</v>
      </c>
      <c r="E39" s="783"/>
      <c r="F39" s="783"/>
      <c r="G39" s="783"/>
      <c r="H39" s="783">
        <f>IF(H38&gt;0,H35/(3600*H38),0)</f>
        <v>0</v>
      </c>
      <c r="I39" s="783"/>
      <c r="J39" s="783"/>
      <c r="K39" s="783"/>
      <c r="L39" s="766"/>
    </row>
    <row r="40" spans="2:12" ht="24.95" customHeight="1" x14ac:dyDescent="0.2">
      <c r="B40" s="784" t="s">
        <v>406</v>
      </c>
      <c r="C40" s="785"/>
      <c r="D40" s="772"/>
      <c r="E40" s="772"/>
      <c r="F40" s="772"/>
      <c r="G40" s="772"/>
      <c r="H40" s="772"/>
      <c r="I40" s="772"/>
      <c r="J40" s="772"/>
      <c r="K40" s="773"/>
      <c r="L40" s="163"/>
    </row>
    <row r="41" spans="2:12" ht="24.95" customHeight="1" x14ac:dyDescent="0.2">
      <c r="B41" s="770" t="s">
        <v>87</v>
      </c>
      <c r="C41" s="771"/>
      <c r="D41" s="739"/>
      <c r="E41" s="739"/>
      <c r="F41" s="739"/>
      <c r="G41" s="739"/>
      <c r="H41" s="774"/>
      <c r="I41" s="775"/>
      <c r="J41" s="775"/>
      <c r="K41" s="776"/>
      <c r="L41" s="163"/>
    </row>
    <row r="42" spans="2:12" ht="24.95" customHeight="1" x14ac:dyDescent="0.2">
      <c r="B42" s="770" t="s">
        <v>88</v>
      </c>
      <c r="C42" s="771"/>
      <c r="D42" s="786"/>
      <c r="E42" s="786"/>
      <c r="F42" s="786"/>
      <c r="G42" s="786"/>
      <c r="H42" s="777"/>
      <c r="I42" s="778"/>
      <c r="J42" s="778"/>
      <c r="K42" s="779"/>
      <c r="L42" s="163"/>
    </row>
    <row r="43" spans="2:12" ht="24.95" customHeight="1" x14ac:dyDescent="0.2">
      <c r="B43" s="770" t="s">
        <v>108</v>
      </c>
      <c r="C43" s="771"/>
      <c r="D43" s="739"/>
      <c r="E43" s="739"/>
      <c r="F43" s="739"/>
      <c r="G43" s="739"/>
      <c r="H43" s="774"/>
      <c r="I43" s="775"/>
      <c r="J43" s="775"/>
      <c r="K43" s="776"/>
      <c r="L43" s="163"/>
    </row>
    <row r="44" spans="2:12" ht="24.95" customHeight="1" x14ac:dyDescent="0.2">
      <c r="B44" s="767" t="s">
        <v>90</v>
      </c>
      <c r="C44" s="768"/>
      <c r="D44" s="739"/>
      <c r="E44" s="739"/>
      <c r="F44" s="739"/>
      <c r="G44" s="739"/>
      <c r="H44" s="774"/>
      <c r="I44" s="775"/>
      <c r="J44" s="775"/>
      <c r="K44" s="776"/>
      <c r="L44" s="163"/>
    </row>
    <row r="45" spans="2:12" ht="24.95" customHeight="1" x14ac:dyDescent="0.2">
      <c r="B45" s="770" t="s">
        <v>116</v>
      </c>
      <c r="C45" s="771"/>
      <c r="D45" s="739"/>
      <c r="E45" s="739"/>
      <c r="F45" s="739"/>
      <c r="G45" s="739"/>
      <c r="H45" s="774"/>
      <c r="I45" s="775"/>
      <c r="J45" s="775"/>
      <c r="K45" s="776"/>
      <c r="L45" s="163"/>
    </row>
    <row r="46" spans="2:12" ht="24.95" customHeight="1" x14ac:dyDescent="0.2">
      <c r="B46" s="781" t="s">
        <v>86</v>
      </c>
      <c r="C46" s="782"/>
      <c r="D46" s="769" t="str">
        <f>IF(D45="Asphalt",$G$151,IF(D45="Concrete, finished",$G$152,IF(D45="Concrete, unfinished",$G$153,IF(D45="Grass",$G$154,IF(D45="Gravel Bottom/riprap sides",$G$155,IF(D45="Weeds",$G$156,""))))))</f>
        <v/>
      </c>
      <c r="E46" s="769"/>
      <c r="F46" s="769"/>
      <c r="G46" s="769"/>
      <c r="H46" s="769" t="str">
        <f>IF(H45="Asphalt",$G$151,IF(H45="Concrete, finished",$G$152,IF(H45="Concrete, unfinished",$G$153,IF(H45="Grass",$G$154,IF(H45="Gravel Bottom/riprap sides",$G$155,IF(H45="Weeds",$G$156,""))))))</f>
        <v/>
      </c>
      <c r="I46" s="769"/>
      <c r="J46" s="769"/>
      <c r="K46" s="769"/>
      <c r="L46" s="766" t="s">
        <v>174</v>
      </c>
    </row>
    <row r="47" spans="2:12" ht="24.95" customHeight="1" x14ac:dyDescent="0.2">
      <c r="B47" s="781" t="s">
        <v>109</v>
      </c>
      <c r="C47" s="782"/>
      <c r="D47" s="783">
        <f>IF(ISERROR(D43/D44),0,D43/D44)</f>
        <v>0</v>
      </c>
      <c r="E47" s="783"/>
      <c r="F47" s="783"/>
      <c r="G47" s="783"/>
      <c r="H47" s="783">
        <f>IF(ISERROR(H43/H44),0,H43/H44)</f>
        <v>0</v>
      </c>
      <c r="I47" s="783"/>
      <c r="J47" s="783"/>
      <c r="K47" s="783"/>
      <c r="L47" s="766"/>
    </row>
    <row r="48" spans="2:12" ht="24.95" customHeight="1" x14ac:dyDescent="0.2">
      <c r="B48" s="781" t="s">
        <v>96</v>
      </c>
      <c r="C48" s="782"/>
      <c r="D48" s="783">
        <f>IF(D44&gt;0,(1.49*(D47^(2/3))*(D42^0.5))/D46,0)</f>
        <v>0</v>
      </c>
      <c r="E48" s="783"/>
      <c r="F48" s="783"/>
      <c r="G48" s="783"/>
      <c r="H48" s="783">
        <f>IF(H44&gt;0,(1.49*(H47^(2/3))*(H42^0.5))/H46,0)</f>
        <v>0</v>
      </c>
      <c r="I48" s="783"/>
      <c r="J48" s="783"/>
      <c r="K48" s="783"/>
      <c r="L48" s="766"/>
    </row>
    <row r="49" spans="2:12" ht="24.95" customHeight="1" x14ac:dyDescent="0.2">
      <c r="B49" s="770" t="s">
        <v>89</v>
      </c>
      <c r="C49" s="780"/>
      <c r="D49" s="783">
        <f>IF(D44&gt;0,D41/(3600*D48),0)</f>
        <v>0</v>
      </c>
      <c r="E49" s="783"/>
      <c r="F49" s="783"/>
      <c r="G49" s="783"/>
      <c r="H49" s="783">
        <f>IF(H44&gt;0,H41/(3600*H48),0)</f>
        <v>0</v>
      </c>
      <c r="I49" s="783"/>
      <c r="J49" s="783"/>
      <c r="K49" s="783"/>
      <c r="L49" s="766"/>
    </row>
    <row r="50" spans="2:12" ht="24.95" customHeight="1" x14ac:dyDescent="0.2">
      <c r="B50" s="784" t="s">
        <v>407</v>
      </c>
      <c r="C50" s="785"/>
      <c r="D50" s="772"/>
      <c r="E50" s="772"/>
      <c r="F50" s="772"/>
      <c r="G50" s="772"/>
      <c r="H50" s="772"/>
      <c r="I50" s="772"/>
      <c r="J50" s="772"/>
      <c r="K50" s="773"/>
      <c r="L50" s="163"/>
    </row>
    <row r="51" spans="2:12" ht="24.95" customHeight="1" x14ac:dyDescent="0.2">
      <c r="B51" s="770" t="s">
        <v>87</v>
      </c>
      <c r="C51" s="771"/>
      <c r="D51" s="739"/>
      <c r="E51" s="739"/>
      <c r="F51" s="739"/>
      <c r="G51" s="739"/>
      <c r="H51" s="739"/>
      <c r="I51" s="739"/>
      <c r="J51" s="739"/>
      <c r="K51" s="739"/>
      <c r="L51" s="163"/>
    </row>
    <row r="52" spans="2:12" ht="24.95" customHeight="1" x14ac:dyDescent="0.2">
      <c r="B52" s="770" t="s">
        <v>88</v>
      </c>
      <c r="C52" s="771"/>
      <c r="D52" s="786"/>
      <c r="E52" s="786"/>
      <c r="F52" s="786"/>
      <c r="G52" s="786"/>
      <c r="H52" s="786"/>
      <c r="I52" s="786"/>
      <c r="J52" s="786"/>
      <c r="K52" s="786"/>
      <c r="L52" s="163"/>
    </row>
    <row r="53" spans="2:12" ht="24.95" customHeight="1" x14ac:dyDescent="0.2">
      <c r="B53" s="770" t="s">
        <v>108</v>
      </c>
      <c r="C53" s="771"/>
      <c r="D53" s="739"/>
      <c r="E53" s="739"/>
      <c r="F53" s="739"/>
      <c r="G53" s="739"/>
      <c r="H53" s="739"/>
      <c r="I53" s="739"/>
      <c r="J53" s="739"/>
      <c r="K53" s="739"/>
      <c r="L53" s="163"/>
    </row>
    <row r="54" spans="2:12" ht="24.95" customHeight="1" x14ac:dyDescent="0.2">
      <c r="B54" s="767" t="s">
        <v>90</v>
      </c>
      <c r="C54" s="768"/>
      <c r="D54" s="739"/>
      <c r="E54" s="739"/>
      <c r="F54" s="739"/>
      <c r="G54" s="739"/>
      <c r="H54" s="739"/>
      <c r="I54" s="739"/>
      <c r="J54" s="739"/>
      <c r="K54" s="739"/>
      <c r="L54" s="163"/>
    </row>
    <row r="55" spans="2:12" ht="24.95" customHeight="1" x14ac:dyDescent="0.2">
      <c r="B55" s="770" t="s">
        <v>116</v>
      </c>
      <c r="C55" s="771"/>
      <c r="D55" s="739"/>
      <c r="E55" s="739"/>
      <c r="F55" s="739"/>
      <c r="G55" s="739"/>
      <c r="H55" s="739"/>
      <c r="I55" s="739"/>
      <c r="J55" s="739"/>
      <c r="K55" s="739"/>
      <c r="L55" s="163"/>
    </row>
    <row r="56" spans="2:12" ht="24.95" customHeight="1" x14ac:dyDescent="0.2">
      <c r="B56" s="781" t="s">
        <v>86</v>
      </c>
      <c r="C56" s="782"/>
      <c r="D56" s="769" t="str">
        <f>IF(D55="Asphalt",$G$151,IF(D55="Concrete, finished",$G$152,IF(D55="Concrete, unfinished",$G$153,IF(D55="Grass",$G$154,IF(D55="Gravel Bottom/riprap sides",$G$155,IF(D55="Weeds",$G$156,""))))))</f>
        <v/>
      </c>
      <c r="E56" s="769"/>
      <c r="F56" s="769"/>
      <c r="G56" s="769"/>
      <c r="H56" s="769" t="str">
        <f>IF(H55="Asphalt",$G$151,IF(H55="Concrete, finished",$G$152,IF(H55="Concrete, unfinished",$G$153,IF(H55="Grass",$G$154,IF(H55="Gravel Bottom/riprap sides",$G$155,IF(H55="Weeds",$G$156,""))))))</f>
        <v/>
      </c>
      <c r="I56" s="769"/>
      <c r="J56" s="769"/>
      <c r="K56" s="769"/>
      <c r="L56" s="766" t="s">
        <v>174</v>
      </c>
    </row>
    <row r="57" spans="2:12" ht="24.95" customHeight="1" x14ac:dyDescent="0.2">
      <c r="B57" s="781" t="s">
        <v>109</v>
      </c>
      <c r="C57" s="782"/>
      <c r="D57" s="783">
        <f>IF(ISERROR(D53/D54),0,D53/D54)</f>
        <v>0</v>
      </c>
      <c r="E57" s="783"/>
      <c r="F57" s="783"/>
      <c r="G57" s="783"/>
      <c r="H57" s="783">
        <f>IF(ISERROR(H53/H54),0,H53/H54)</f>
        <v>0</v>
      </c>
      <c r="I57" s="783"/>
      <c r="J57" s="783"/>
      <c r="K57" s="783"/>
      <c r="L57" s="766"/>
    </row>
    <row r="58" spans="2:12" ht="24.95" customHeight="1" x14ac:dyDescent="0.2">
      <c r="B58" s="781" t="s">
        <v>96</v>
      </c>
      <c r="C58" s="782"/>
      <c r="D58" s="783">
        <f>IF(D54&gt;0,(1.49*(D57^(2/3))*(D52^0.5))/D56,0)</f>
        <v>0</v>
      </c>
      <c r="E58" s="783"/>
      <c r="F58" s="783"/>
      <c r="G58" s="783"/>
      <c r="H58" s="783">
        <f>IF(H54&gt;0,(1.49*(H57^(2/3))*(H52^0.5))/H56,0)</f>
        <v>0</v>
      </c>
      <c r="I58" s="783"/>
      <c r="J58" s="783"/>
      <c r="K58" s="783"/>
      <c r="L58" s="766"/>
    </row>
    <row r="59" spans="2:12" ht="24.95" customHeight="1" x14ac:dyDescent="0.2">
      <c r="B59" s="770" t="s">
        <v>89</v>
      </c>
      <c r="C59" s="780"/>
      <c r="D59" s="783">
        <f>IF(D54&gt;0,D51/(3600*D58),0)</f>
        <v>0</v>
      </c>
      <c r="E59" s="783"/>
      <c r="F59" s="783"/>
      <c r="G59" s="783"/>
      <c r="H59" s="783">
        <f>IF(H54&gt;0,H51/(3600*H58),0)</f>
        <v>0</v>
      </c>
      <c r="I59" s="783"/>
      <c r="J59" s="783"/>
      <c r="K59" s="783"/>
      <c r="L59" s="766"/>
    </row>
    <row r="60" spans="2:12" ht="24.95" customHeight="1" x14ac:dyDescent="0.2">
      <c r="B60" s="784" t="s">
        <v>408</v>
      </c>
      <c r="C60" s="785"/>
      <c r="D60" s="772"/>
      <c r="E60" s="772"/>
      <c r="F60" s="772"/>
      <c r="G60" s="772"/>
      <c r="H60" s="772"/>
      <c r="I60" s="772"/>
      <c r="J60" s="772"/>
      <c r="K60" s="773"/>
      <c r="L60" s="163"/>
    </row>
    <row r="61" spans="2:12" ht="24.95" customHeight="1" x14ac:dyDescent="0.2">
      <c r="B61" s="770" t="s">
        <v>87</v>
      </c>
      <c r="C61" s="771"/>
      <c r="D61" s="739"/>
      <c r="E61" s="739"/>
      <c r="F61" s="739"/>
      <c r="G61" s="739"/>
      <c r="H61" s="739"/>
      <c r="I61" s="739"/>
      <c r="J61" s="739"/>
      <c r="K61" s="739"/>
      <c r="L61" s="163"/>
    </row>
    <row r="62" spans="2:12" ht="24.95" customHeight="1" x14ac:dyDescent="0.2">
      <c r="B62" s="770" t="s">
        <v>88</v>
      </c>
      <c r="C62" s="771"/>
      <c r="D62" s="786"/>
      <c r="E62" s="786"/>
      <c r="F62" s="786"/>
      <c r="G62" s="786"/>
      <c r="H62" s="786"/>
      <c r="I62" s="786"/>
      <c r="J62" s="786"/>
      <c r="K62" s="786"/>
      <c r="L62" s="163"/>
    </row>
    <row r="63" spans="2:12" ht="24.95" customHeight="1" x14ac:dyDescent="0.2">
      <c r="B63" s="770" t="s">
        <v>108</v>
      </c>
      <c r="C63" s="771"/>
      <c r="D63" s="739"/>
      <c r="E63" s="739"/>
      <c r="F63" s="739"/>
      <c r="G63" s="739"/>
      <c r="H63" s="739"/>
      <c r="I63" s="739"/>
      <c r="J63" s="739"/>
      <c r="K63" s="739"/>
      <c r="L63" s="163"/>
    </row>
    <row r="64" spans="2:12" ht="24.95" customHeight="1" x14ac:dyDescent="0.2">
      <c r="B64" s="821" t="s">
        <v>90</v>
      </c>
      <c r="C64" s="822"/>
      <c r="D64" s="739"/>
      <c r="E64" s="739"/>
      <c r="F64" s="739"/>
      <c r="G64" s="739"/>
      <c r="H64" s="739"/>
      <c r="I64" s="739"/>
      <c r="J64" s="739"/>
      <c r="K64" s="739"/>
      <c r="L64" s="163"/>
    </row>
    <row r="65" spans="1:27" ht="24.95" customHeight="1" x14ac:dyDescent="0.2">
      <c r="B65" s="770" t="s">
        <v>116</v>
      </c>
      <c r="C65" s="771"/>
      <c r="D65" s="739"/>
      <c r="E65" s="739"/>
      <c r="F65" s="739"/>
      <c r="G65" s="739"/>
      <c r="H65" s="739"/>
      <c r="I65" s="739"/>
      <c r="J65" s="739"/>
      <c r="K65" s="739"/>
      <c r="L65" s="163"/>
    </row>
    <row r="66" spans="1:27" ht="24.95" customHeight="1" x14ac:dyDescent="0.2">
      <c r="B66" s="781" t="s">
        <v>86</v>
      </c>
      <c r="C66" s="782"/>
      <c r="D66" s="769" t="str">
        <f>IF(D65="Asphalt",$G$151,IF(D65="Concrete, finished",$G$152,IF(D65="Concrete, unfinished",$G$153,IF(D65="Grass",$G$154,IF(D65="Gravel Bottom/riprap sides",$G$155,IF(D65="Weeds",$G$156,""))))))</f>
        <v/>
      </c>
      <c r="E66" s="769"/>
      <c r="F66" s="769"/>
      <c r="G66" s="769"/>
      <c r="H66" s="769" t="str">
        <f>IF(H65="Asphalt",$G$151,IF(H65="Concrete, finished",$G$152,IF(H65="Concrete, unfinished",$G$153,IF(H65="Grass",$G$154,IF(H65="Gravel Bottom/riprap sides",$G$155,IF(H65="Weeds",$G$156,""))))))</f>
        <v/>
      </c>
      <c r="I66" s="769"/>
      <c r="J66" s="769"/>
      <c r="K66" s="769"/>
      <c r="L66" s="766" t="s">
        <v>174</v>
      </c>
    </row>
    <row r="67" spans="1:27" ht="24.95" customHeight="1" x14ac:dyDescent="0.2">
      <c r="B67" s="781" t="s">
        <v>109</v>
      </c>
      <c r="C67" s="782"/>
      <c r="D67" s="783">
        <f>IF(ISERROR(D63/D64),0,D63/D64)</f>
        <v>0</v>
      </c>
      <c r="E67" s="783"/>
      <c r="F67" s="783"/>
      <c r="G67" s="783"/>
      <c r="H67" s="783">
        <f>IF(ISERROR(H63/H64),0,H63/H64)</f>
        <v>0</v>
      </c>
      <c r="I67" s="783"/>
      <c r="J67" s="783"/>
      <c r="K67" s="783"/>
      <c r="L67" s="766"/>
    </row>
    <row r="68" spans="1:27" ht="24.95" customHeight="1" x14ac:dyDescent="0.2">
      <c r="B68" s="781" t="s">
        <v>96</v>
      </c>
      <c r="C68" s="782"/>
      <c r="D68" s="783">
        <f>IF(D64&gt;0,(1.49*(D67^(2/3))*(D62^0.5))/D66,0)</f>
        <v>0</v>
      </c>
      <c r="E68" s="783"/>
      <c r="F68" s="783"/>
      <c r="G68" s="783"/>
      <c r="H68" s="783">
        <f>IF(H64&gt;0,(1.49*(H67^(2/3))*(H62^0.5))/H66,0)</f>
        <v>0</v>
      </c>
      <c r="I68" s="783"/>
      <c r="J68" s="783"/>
      <c r="K68" s="783"/>
      <c r="L68" s="766"/>
    </row>
    <row r="69" spans="1:27" ht="24.95" customHeight="1" x14ac:dyDescent="0.2">
      <c r="B69" s="770" t="s">
        <v>89</v>
      </c>
      <c r="C69" s="780"/>
      <c r="D69" s="783">
        <f>IF(D64&gt;0,D61/(3600*D68),0)</f>
        <v>0</v>
      </c>
      <c r="E69" s="783"/>
      <c r="F69" s="783"/>
      <c r="G69" s="783"/>
      <c r="H69" s="783">
        <f>IF(H64&gt;0,H61/(3600*H68),0)</f>
        <v>0</v>
      </c>
      <c r="I69" s="783"/>
      <c r="J69" s="783"/>
      <c r="K69" s="783"/>
      <c r="L69" s="766"/>
    </row>
    <row r="70" spans="1:27" ht="24.95" customHeight="1" thickBot="1" x14ac:dyDescent="0.25">
      <c r="B70" s="819" t="s">
        <v>125</v>
      </c>
      <c r="C70" s="820"/>
      <c r="D70" s="739">
        <f>D69+D59+D49+D39+D33</f>
        <v>0</v>
      </c>
      <c r="E70" s="739"/>
      <c r="F70" s="739"/>
      <c r="G70" s="739"/>
      <c r="H70" s="739">
        <f>H69+H59+H49+H39+H33</f>
        <v>0</v>
      </c>
      <c r="I70" s="739"/>
      <c r="J70" s="739"/>
      <c r="K70" s="739"/>
      <c r="L70" s="566" t="s">
        <v>176</v>
      </c>
    </row>
    <row r="71" spans="1:27" ht="24.95" customHeight="1" thickTop="1" thickBot="1" x14ac:dyDescent="0.3">
      <c r="B71" s="443" t="s">
        <v>134</v>
      </c>
      <c r="C71" s="445"/>
      <c r="D71" s="762" t="s">
        <v>9</v>
      </c>
      <c r="E71" s="762"/>
      <c r="F71" s="762"/>
      <c r="G71" s="762"/>
      <c r="H71" s="762" t="s">
        <v>30</v>
      </c>
      <c r="I71" s="762"/>
      <c r="J71" s="762"/>
      <c r="K71" s="762"/>
      <c r="L71" s="163"/>
    </row>
    <row r="72" spans="1:27" s="169" customFormat="1" ht="24.95" hidden="1" customHeight="1" thickTop="1" x14ac:dyDescent="0.2">
      <c r="A72" s="216"/>
      <c r="B72" s="826" t="s">
        <v>386</v>
      </c>
      <c r="C72" s="827"/>
      <c r="D72" s="816" t="e">
        <f>C122*0.2</f>
        <v>#DIV/0!</v>
      </c>
      <c r="E72" s="817"/>
      <c r="F72" s="817"/>
      <c r="G72" s="818"/>
      <c r="H72" s="816" t="e">
        <f>C130*0.2</f>
        <v>#DIV/0!</v>
      </c>
      <c r="I72" s="817"/>
      <c r="J72" s="817"/>
      <c r="K72" s="832"/>
      <c r="L72" s="420"/>
      <c r="M72" s="216"/>
      <c r="N72" s="216"/>
      <c r="O72" s="216"/>
      <c r="P72" s="216"/>
      <c r="Q72" s="216"/>
      <c r="R72" s="216"/>
      <c r="S72" s="216"/>
      <c r="T72" s="216"/>
      <c r="U72" s="216"/>
      <c r="V72" s="216"/>
      <c r="W72" s="216"/>
      <c r="X72" s="216"/>
      <c r="Y72" s="216"/>
      <c r="Z72" s="216"/>
      <c r="AA72" s="216"/>
    </row>
    <row r="73" spans="1:27" s="169" customFormat="1" ht="24.95" hidden="1" customHeight="1" x14ac:dyDescent="0.2">
      <c r="A73" s="216"/>
      <c r="B73" s="814" t="s">
        <v>387</v>
      </c>
      <c r="C73" s="815"/>
      <c r="D73" s="812" t="e">
        <f>D72/$D$11</f>
        <v>#DIV/0!</v>
      </c>
      <c r="E73" s="812"/>
      <c r="F73" s="812"/>
      <c r="G73" s="812"/>
      <c r="H73" s="812" t="e">
        <f>H72/$D$11</f>
        <v>#DIV/0!</v>
      </c>
      <c r="I73" s="812"/>
      <c r="J73" s="812"/>
      <c r="K73" s="813"/>
      <c r="L73" s="421"/>
      <c r="M73" s="216"/>
      <c r="N73" s="216"/>
      <c r="O73" s="216"/>
      <c r="P73" s="216"/>
      <c r="Q73" s="216"/>
      <c r="R73" s="216"/>
      <c r="S73" s="216"/>
      <c r="T73" s="216"/>
      <c r="U73" s="216"/>
      <c r="V73" s="216"/>
      <c r="W73" s="216"/>
      <c r="X73" s="216"/>
      <c r="Y73" s="216"/>
      <c r="Z73" s="216"/>
      <c r="AA73" s="216"/>
    </row>
    <row r="74" spans="1:27" ht="24.95" customHeight="1" thickTop="1" thickBot="1" x14ac:dyDescent="0.25">
      <c r="B74" s="828" t="s">
        <v>132</v>
      </c>
      <c r="C74" s="829"/>
      <c r="D74" s="763" t="e">
        <f>$G$109</f>
        <v>#DIV/0!</v>
      </c>
      <c r="E74" s="763"/>
      <c r="F74" s="763"/>
      <c r="G74" s="763"/>
      <c r="H74" s="763" t="e">
        <f>$H$109</f>
        <v>#DIV/0!</v>
      </c>
      <c r="I74" s="763"/>
      <c r="J74" s="763"/>
      <c r="K74" s="763"/>
      <c r="L74" s="566" t="s">
        <v>177</v>
      </c>
    </row>
    <row r="75" spans="1:27" s="142" customFormat="1" ht="24.95" customHeight="1" thickTop="1" thickBot="1" x14ac:dyDescent="0.25">
      <c r="A75" s="141"/>
      <c r="B75" s="750" t="s">
        <v>223</v>
      </c>
      <c r="C75" s="751"/>
      <c r="D75" s="436"/>
      <c r="E75" s="436"/>
      <c r="F75" s="436"/>
      <c r="G75" s="436"/>
      <c r="H75" s="436"/>
      <c r="I75" s="436"/>
      <c r="J75" s="436"/>
      <c r="K75" s="437"/>
      <c r="L75" s="422"/>
      <c r="M75" s="141"/>
      <c r="N75" s="141"/>
      <c r="O75" s="141"/>
      <c r="P75" s="141"/>
      <c r="Q75" s="141"/>
      <c r="R75" s="141"/>
      <c r="S75" s="141"/>
      <c r="T75" s="141"/>
      <c r="U75" s="141"/>
      <c r="V75" s="141"/>
      <c r="W75" s="141"/>
      <c r="X75" s="141"/>
      <c r="Y75" s="141"/>
      <c r="Z75" s="141"/>
      <c r="AA75" s="141"/>
    </row>
    <row r="76" spans="1:27" s="144" customFormat="1" ht="24.95" customHeight="1" thickTop="1" x14ac:dyDescent="0.2">
      <c r="A76" s="143"/>
      <c r="B76" s="740" t="s">
        <v>402</v>
      </c>
      <c r="C76" s="741"/>
      <c r="D76" s="742">
        <f>SUM($H$26:$K$26)</f>
        <v>0</v>
      </c>
      <c r="E76" s="743"/>
      <c r="F76" s="743"/>
      <c r="G76" s="743"/>
      <c r="H76" s="743"/>
      <c r="I76" s="743"/>
      <c r="J76" s="743"/>
      <c r="K76" s="744"/>
      <c r="L76" s="566" t="s">
        <v>222</v>
      </c>
      <c r="M76" s="143"/>
      <c r="N76" s="143"/>
      <c r="O76" s="143"/>
      <c r="P76" s="143"/>
      <c r="Q76" s="143"/>
      <c r="R76" s="143"/>
      <c r="S76" s="143"/>
      <c r="T76" s="143"/>
      <c r="U76" s="143"/>
      <c r="V76" s="143"/>
      <c r="W76" s="143"/>
      <c r="X76" s="143"/>
      <c r="Y76" s="143"/>
      <c r="Z76" s="143"/>
      <c r="AA76" s="143"/>
    </row>
    <row r="77" spans="1:27" s="144" customFormat="1" ht="24.95" customHeight="1" thickBot="1" x14ac:dyDescent="0.25">
      <c r="A77" s="143"/>
      <c r="B77" s="745" t="s">
        <v>403</v>
      </c>
      <c r="C77" s="746"/>
      <c r="D77" s="747" t="e">
        <f>IF(D76&gt;0,$C$188,H74)</f>
        <v>#DIV/0!</v>
      </c>
      <c r="E77" s="748"/>
      <c r="F77" s="748"/>
      <c r="G77" s="748"/>
      <c r="H77" s="748"/>
      <c r="I77" s="748"/>
      <c r="J77" s="748"/>
      <c r="K77" s="749"/>
      <c r="L77" s="423"/>
      <c r="M77" s="143"/>
      <c r="N77" s="143"/>
      <c r="O77" s="143"/>
      <c r="P77" s="143"/>
      <c r="Q77" s="143"/>
      <c r="R77" s="143"/>
      <c r="S77" s="143"/>
      <c r="T77" s="143"/>
      <c r="U77" s="143"/>
      <c r="V77" s="143"/>
      <c r="W77" s="143"/>
      <c r="X77" s="143"/>
      <c r="Y77" s="143"/>
      <c r="Z77" s="143"/>
      <c r="AA77" s="143"/>
    </row>
    <row r="78" spans="1:27" ht="24.95" customHeight="1" thickTop="1" thickBot="1" x14ac:dyDescent="0.25">
      <c r="B78" s="750" t="s">
        <v>385</v>
      </c>
      <c r="C78" s="751"/>
      <c r="D78" s="436"/>
      <c r="E78" s="436"/>
      <c r="F78" s="436"/>
      <c r="G78" s="436"/>
      <c r="H78" s="436"/>
      <c r="I78" s="436"/>
      <c r="J78" s="436"/>
      <c r="K78" s="437"/>
      <c r="L78" s="163"/>
    </row>
    <row r="79" spans="1:27" s="555" customFormat="1" ht="24.95" hidden="1" customHeight="1" thickTop="1" x14ac:dyDescent="0.2">
      <c r="A79" s="554"/>
      <c r="B79" s="764" t="s">
        <v>552</v>
      </c>
      <c r="C79" s="765"/>
      <c r="D79" s="823">
        <f>IF(ISERROR(C170),"",(C170))</f>
        <v>0</v>
      </c>
      <c r="E79" s="824"/>
      <c r="F79" s="824"/>
      <c r="G79" s="824"/>
      <c r="H79" s="824"/>
      <c r="I79" s="824"/>
      <c r="J79" s="824"/>
      <c r="K79" s="825"/>
      <c r="L79" s="553" t="s">
        <v>389</v>
      </c>
      <c r="M79" s="554"/>
      <c r="N79" s="554"/>
      <c r="O79" s="554"/>
      <c r="P79" s="554"/>
      <c r="Q79" s="554"/>
      <c r="R79" s="554"/>
      <c r="S79" s="554"/>
      <c r="T79" s="554"/>
      <c r="U79" s="554"/>
      <c r="V79" s="554"/>
      <c r="W79" s="554"/>
      <c r="X79" s="554"/>
      <c r="Y79" s="554"/>
      <c r="Z79" s="554"/>
      <c r="AA79" s="554"/>
    </row>
    <row r="80" spans="1:27" ht="41.25" customHeight="1" thickTop="1" thickBot="1" x14ac:dyDescent="0.25">
      <c r="B80" s="757" t="s">
        <v>590</v>
      </c>
      <c r="C80" s="758"/>
      <c r="D80" s="759" t="str">
        <f>IF(ISERROR($K$175),"",($K$175))</f>
        <v/>
      </c>
      <c r="E80" s="760"/>
      <c r="F80" s="760"/>
      <c r="G80" s="760"/>
      <c r="H80" s="760"/>
      <c r="I80" s="760"/>
      <c r="J80" s="760"/>
      <c r="K80" s="761"/>
      <c r="L80" s="566" t="s">
        <v>389</v>
      </c>
    </row>
    <row r="81" spans="1:27" ht="24.95" customHeight="1" thickTop="1" thickBot="1" x14ac:dyDescent="0.25">
      <c r="B81" s="750" t="s">
        <v>384</v>
      </c>
      <c r="C81" s="751"/>
      <c r="D81" s="436"/>
      <c r="E81" s="436"/>
      <c r="F81" s="436"/>
      <c r="G81" s="436"/>
      <c r="H81" s="436"/>
      <c r="I81" s="436"/>
      <c r="J81" s="436"/>
      <c r="K81" s="437"/>
      <c r="L81" s="163"/>
    </row>
    <row r="82" spans="1:27" ht="24.95" customHeight="1" thickTop="1" x14ac:dyDescent="0.2">
      <c r="B82" s="754" t="s">
        <v>390</v>
      </c>
      <c r="C82" s="753"/>
      <c r="D82" s="755" t="e">
        <f>IF(D72&gt;'SITE DATA'!$F$26,0,C123)</f>
        <v>#DIV/0!</v>
      </c>
      <c r="E82" s="755"/>
      <c r="F82" s="755"/>
      <c r="G82" s="755"/>
      <c r="H82" s="755" t="e">
        <f>IF(H72&gt;'SITE DATA'!$F$26,0,C131)</f>
        <v>#DIV/0!</v>
      </c>
      <c r="I82" s="755"/>
      <c r="J82" s="755"/>
      <c r="K82" s="755"/>
      <c r="L82" s="566" t="s">
        <v>178</v>
      </c>
    </row>
    <row r="83" spans="1:27" ht="24.95" customHeight="1" x14ac:dyDescent="0.2">
      <c r="B83" s="752" t="s">
        <v>349</v>
      </c>
      <c r="C83" s="753"/>
      <c r="D83" s="756" t="e">
        <f>ROUND(IF(ISERROR((D82/12)*(D10*43560)),"",((D82/12)*(D10*43560))),0)</f>
        <v>#VALUE!</v>
      </c>
      <c r="E83" s="756"/>
      <c r="F83" s="756"/>
      <c r="G83" s="756"/>
      <c r="H83" s="756">
        <f>ROUND(IF(ISERROR((H82/12)*(H10*43560)),0,((H82/12)*(H10*43560))),0)</f>
        <v>0</v>
      </c>
      <c r="I83" s="756"/>
      <c r="J83" s="756"/>
      <c r="K83" s="756"/>
      <c r="L83" s="424"/>
    </row>
    <row r="84" spans="1:27" ht="39" customHeight="1" x14ac:dyDescent="0.2">
      <c r="B84" s="757" t="s">
        <v>559</v>
      </c>
      <c r="C84" s="758"/>
      <c r="D84" s="756" t="str">
        <f>IF(ISERROR(H83-D83),"",(H83-D83))</f>
        <v/>
      </c>
      <c r="E84" s="756"/>
      <c r="F84" s="756"/>
      <c r="G84" s="756"/>
      <c r="H84" s="756"/>
      <c r="I84" s="756"/>
      <c r="J84" s="756"/>
      <c r="K84" s="756"/>
      <c r="L84" s="425"/>
    </row>
    <row r="85" spans="1:27" ht="24.95" customHeight="1" thickBot="1" x14ac:dyDescent="0.25">
      <c r="B85" s="752" t="s">
        <v>350</v>
      </c>
      <c r="C85" s="753"/>
      <c r="D85" s="809" t="e">
        <f>H127</f>
        <v>#DIV/0!</v>
      </c>
      <c r="E85" s="809"/>
      <c r="F85" s="809"/>
      <c r="G85" s="809"/>
      <c r="H85" s="809" t="e">
        <f>H135</f>
        <v>#DIV/0!</v>
      </c>
      <c r="I85" s="809"/>
      <c r="J85" s="809"/>
      <c r="K85" s="809"/>
      <c r="L85" s="426" t="s">
        <v>159</v>
      </c>
    </row>
    <row r="86" spans="1:27" ht="24.95" customHeight="1" thickTop="1" thickBot="1" x14ac:dyDescent="0.25">
      <c r="B86" s="750" t="s">
        <v>374</v>
      </c>
      <c r="C86" s="751"/>
      <c r="D86" s="436"/>
      <c r="E86" s="436"/>
      <c r="F86" s="436"/>
      <c r="G86" s="436"/>
      <c r="H86" s="436"/>
      <c r="I86" s="436"/>
      <c r="J86" s="436"/>
      <c r="K86" s="437"/>
      <c r="L86" s="426"/>
    </row>
    <row r="87" spans="1:27" ht="24.95" customHeight="1" thickTop="1" x14ac:dyDescent="0.2">
      <c r="B87" s="754" t="s">
        <v>391</v>
      </c>
      <c r="C87" s="753"/>
      <c r="D87" s="755" t="e">
        <f>IF($D$72&gt;'SITE DATA'!$F$27,0,C124)</f>
        <v>#DIV/0!</v>
      </c>
      <c r="E87" s="755"/>
      <c r="F87" s="755"/>
      <c r="G87" s="755"/>
      <c r="H87" s="755" t="e">
        <f>IF($H$72&gt;'SITE DATA'!$F$27,0,C132)</f>
        <v>#DIV/0!</v>
      </c>
      <c r="I87" s="755"/>
      <c r="J87" s="755"/>
      <c r="K87" s="755"/>
      <c r="L87" s="566" t="s">
        <v>178</v>
      </c>
    </row>
    <row r="88" spans="1:27" ht="24.95" customHeight="1" x14ac:dyDescent="0.2">
      <c r="B88" s="752" t="s">
        <v>349</v>
      </c>
      <c r="C88" s="753"/>
      <c r="D88" s="756" t="e">
        <f>(D87/12)*($D$10*43560)</f>
        <v>#DIV/0!</v>
      </c>
      <c r="E88" s="756"/>
      <c r="F88" s="756"/>
      <c r="G88" s="756"/>
      <c r="H88" s="756" t="e">
        <f>(H87/12)*(H10*43560)</f>
        <v>#DIV/0!</v>
      </c>
      <c r="I88" s="756"/>
      <c r="J88" s="756"/>
      <c r="K88" s="756"/>
      <c r="L88" s="426"/>
    </row>
    <row r="89" spans="1:27" ht="24.95" customHeight="1" thickBot="1" x14ac:dyDescent="0.25">
      <c r="B89" s="752" t="s">
        <v>351</v>
      </c>
      <c r="C89" s="753"/>
      <c r="D89" s="809" t="e">
        <f>H128</f>
        <v>#DIV/0!</v>
      </c>
      <c r="E89" s="809"/>
      <c r="F89" s="809"/>
      <c r="G89" s="809"/>
      <c r="H89" s="809" t="e">
        <f>H136</f>
        <v>#DIV/0!</v>
      </c>
      <c r="I89" s="809"/>
      <c r="J89" s="809"/>
      <c r="K89" s="809"/>
      <c r="L89" s="426" t="s">
        <v>159</v>
      </c>
    </row>
    <row r="90" spans="1:27" ht="24.95" customHeight="1" thickTop="1" thickBot="1" x14ac:dyDescent="0.25">
      <c r="B90" s="750" t="s">
        <v>376</v>
      </c>
      <c r="C90" s="751"/>
      <c r="D90" s="436"/>
      <c r="E90" s="436"/>
      <c r="F90" s="436"/>
      <c r="G90" s="436"/>
      <c r="H90" s="436"/>
      <c r="I90" s="436"/>
      <c r="J90" s="436"/>
      <c r="K90" s="437"/>
      <c r="L90" s="426"/>
    </row>
    <row r="91" spans="1:27" ht="24.95" customHeight="1" thickTop="1" x14ac:dyDescent="0.2">
      <c r="B91" s="754" t="s">
        <v>392</v>
      </c>
      <c r="C91" s="753"/>
      <c r="D91" s="755" t="e">
        <f>IF($D$72&gt;'SITE DATA'!F28,0,C125)</f>
        <v>#DIV/0!</v>
      </c>
      <c r="E91" s="755"/>
      <c r="F91" s="755"/>
      <c r="G91" s="755"/>
      <c r="H91" s="755" t="e">
        <f>IF($H$72&gt;'SITE DATA'!F28,0,C133)</f>
        <v>#DIV/0!</v>
      </c>
      <c r="I91" s="755"/>
      <c r="J91" s="755"/>
      <c r="K91" s="755"/>
      <c r="L91" s="566" t="s">
        <v>178</v>
      </c>
    </row>
    <row r="92" spans="1:27" ht="24.95" customHeight="1" x14ac:dyDescent="0.2">
      <c r="B92" s="752" t="s">
        <v>349</v>
      </c>
      <c r="C92" s="753"/>
      <c r="D92" s="756" t="e">
        <f>(D91/12)*($D$10*43560)</f>
        <v>#DIV/0!</v>
      </c>
      <c r="E92" s="756"/>
      <c r="F92" s="756"/>
      <c r="G92" s="756"/>
      <c r="H92" s="756" t="e">
        <f>(H91/12)*($D$10*43560)</f>
        <v>#DIV/0!</v>
      </c>
      <c r="I92" s="756"/>
      <c r="J92" s="756"/>
      <c r="K92" s="756"/>
      <c r="L92" s="426"/>
    </row>
    <row r="93" spans="1:27" ht="24.95" customHeight="1" thickBot="1" x14ac:dyDescent="0.25">
      <c r="B93" s="810" t="s">
        <v>352</v>
      </c>
      <c r="C93" s="811"/>
      <c r="D93" s="808" t="e">
        <f>H129</f>
        <v>#DIV/0!</v>
      </c>
      <c r="E93" s="808"/>
      <c r="F93" s="808"/>
      <c r="G93" s="808"/>
      <c r="H93" s="808" t="e">
        <f>H137</f>
        <v>#DIV/0!</v>
      </c>
      <c r="I93" s="808"/>
      <c r="J93" s="808"/>
      <c r="K93" s="808"/>
      <c r="L93" s="426"/>
    </row>
    <row r="94" spans="1:27" s="507" customFormat="1" ht="24.95" hidden="1" customHeight="1" thickTop="1" x14ac:dyDescent="0.2">
      <c r="B94" s="165"/>
      <c r="C94" s="165"/>
      <c r="D94" s="807" t="e">
        <f>IF($H$93&gt;$D$93,"Post-development peak flow exceeds pre-development peak flow for this DA!","")</f>
        <v>#DIV/0!</v>
      </c>
      <c r="E94" s="807"/>
      <c r="F94" s="807"/>
      <c r="G94" s="807"/>
      <c r="H94" s="807"/>
      <c r="I94" s="807"/>
      <c r="J94" s="807"/>
      <c r="K94" s="807"/>
    </row>
    <row r="95" spans="1:27" s="507" customFormat="1" ht="15" hidden="1" customHeight="1" x14ac:dyDescent="0.2">
      <c r="B95" s="155"/>
      <c r="C95" s="165"/>
      <c r="D95" s="167"/>
      <c r="E95" s="167"/>
      <c r="F95" s="167"/>
      <c r="G95" s="167"/>
      <c r="H95" s="167"/>
      <c r="I95" s="167"/>
      <c r="J95" s="167"/>
      <c r="K95" s="167"/>
      <c r="L95" s="168"/>
    </row>
    <row r="96" spans="1:27" s="169" customFormat="1" ht="15.75" hidden="1" customHeight="1" x14ac:dyDescent="0.25">
      <c r="A96" s="216"/>
      <c r="B96" s="806" t="s">
        <v>126</v>
      </c>
      <c r="C96" s="806"/>
      <c r="D96" s="806"/>
      <c r="E96" s="806"/>
      <c r="F96" s="806"/>
      <c r="G96" s="806"/>
      <c r="H96" s="806"/>
      <c r="I96" s="806"/>
      <c r="J96" s="806"/>
      <c r="K96" s="806"/>
      <c r="L96" s="806"/>
      <c r="M96" s="216"/>
      <c r="N96" s="216"/>
      <c r="O96" s="216"/>
      <c r="P96" s="216"/>
      <c r="Q96" s="216"/>
      <c r="R96" s="216"/>
      <c r="S96" s="216"/>
      <c r="T96" s="216"/>
      <c r="U96" s="216"/>
      <c r="V96" s="216"/>
      <c r="W96" s="216"/>
      <c r="X96" s="216"/>
      <c r="Y96" s="216"/>
      <c r="Z96" s="216"/>
      <c r="AA96" s="216"/>
    </row>
    <row r="97" spans="2:14" s="507" customFormat="1" ht="15" hidden="1" customHeight="1" x14ac:dyDescent="0.2">
      <c r="K97" s="167"/>
      <c r="L97" s="168"/>
    </row>
    <row r="98" spans="2:14" ht="18.75" hidden="1" customHeight="1" thickBot="1" x14ac:dyDescent="0.25">
      <c r="B98" s="855" t="s">
        <v>133</v>
      </c>
      <c r="C98" s="856"/>
      <c r="D98" s="856"/>
      <c r="E98" s="856"/>
      <c r="F98" s="856"/>
      <c r="G98" s="856"/>
      <c r="H98" s="856"/>
      <c r="I98" s="856"/>
      <c r="J98" s="170"/>
      <c r="K98" s="507"/>
      <c r="L98" s="507"/>
    </row>
    <row r="99" spans="2:14" ht="60" hidden="1" customHeight="1" x14ac:dyDescent="0.2">
      <c r="B99" s="171" t="s">
        <v>14</v>
      </c>
      <c r="C99" s="172" t="s">
        <v>15</v>
      </c>
      <c r="D99" s="172" t="s">
        <v>16</v>
      </c>
      <c r="E99" s="172" t="s">
        <v>18</v>
      </c>
      <c r="F99" s="172" t="s">
        <v>17</v>
      </c>
      <c r="G99" s="224" t="s">
        <v>289</v>
      </c>
      <c r="H99" s="225" t="s">
        <v>290</v>
      </c>
      <c r="I99" s="250" t="s">
        <v>377</v>
      </c>
      <c r="J99" s="249"/>
      <c r="K99" s="508"/>
      <c r="L99" s="507"/>
    </row>
    <row r="100" spans="2:14" ht="15" hidden="1" customHeight="1" x14ac:dyDescent="0.2">
      <c r="B100" s="173" t="s">
        <v>12</v>
      </c>
      <c r="C100" s="568">
        <v>39</v>
      </c>
      <c r="D100" s="568">
        <v>61</v>
      </c>
      <c r="E100" s="568">
        <v>74</v>
      </c>
      <c r="F100" s="568">
        <v>80</v>
      </c>
      <c r="G100" s="567">
        <f t="shared" ref="G100:G107" si="0">(C100*D17)+(D100*E17)+(E100*F17)+(F100*G17)</f>
        <v>0</v>
      </c>
      <c r="H100" s="569">
        <f>($C$100*$H$17)+($D$100*$I$17)+($E$100*$J$17)+($F$100*$K$17)</f>
        <v>0</v>
      </c>
      <c r="I100" s="251">
        <f>($C$100*$H$17)+($D$100*$I$17)+($E$100*$J$17)+($F$100*$K$17)</f>
        <v>0</v>
      </c>
      <c r="J100" s="508"/>
      <c r="K100" s="508"/>
      <c r="L100" s="507"/>
    </row>
    <row r="101" spans="2:14" ht="18" hidden="1" customHeight="1" x14ac:dyDescent="0.2">
      <c r="B101" s="173" t="s">
        <v>233</v>
      </c>
      <c r="C101" s="568">
        <v>45</v>
      </c>
      <c r="D101" s="568">
        <v>66</v>
      </c>
      <c r="E101" s="568">
        <v>77</v>
      </c>
      <c r="F101" s="568">
        <v>83</v>
      </c>
      <c r="G101" s="567">
        <f t="shared" si="0"/>
        <v>0</v>
      </c>
      <c r="H101" s="569">
        <f>($C$101*$H$18)+($D$101*$I$18)+($E$101*$J$18)+($F$101*$K$18)</f>
        <v>0</v>
      </c>
      <c r="I101" s="251">
        <f>($C$101*$H$18)+($D$101*$I$18)+($E$101*$J$18)+($F$101*$K$18)</f>
        <v>0</v>
      </c>
      <c r="J101" s="508"/>
      <c r="K101" s="508"/>
      <c r="L101" s="507"/>
    </row>
    <row r="102" spans="2:14" ht="18" hidden="1" customHeight="1" x14ac:dyDescent="0.2">
      <c r="B102" s="173" t="s">
        <v>235</v>
      </c>
      <c r="C102" s="568">
        <v>36</v>
      </c>
      <c r="D102" s="568">
        <v>60</v>
      </c>
      <c r="E102" s="568">
        <v>73</v>
      </c>
      <c r="F102" s="568">
        <v>79</v>
      </c>
      <c r="G102" s="567">
        <f t="shared" si="0"/>
        <v>0</v>
      </c>
      <c r="H102" s="569">
        <f>($C$102*$H$19)+($D$102*$I$19)+($E$102*$J$19)+($F$102*$K$19)</f>
        <v>0</v>
      </c>
      <c r="I102" s="251">
        <f>($C$102*$H$19)+($D$102*$I$19)+($E$102*$J$19)+($F$102*$K$19)</f>
        <v>0</v>
      </c>
      <c r="J102" s="508"/>
      <c r="K102" s="508"/>
      <c r="L102" s="507"/>
    </row>
    <row r="103" spans="2:14" ht="18" hidden="1" customHeight="1" x14ac:dyDescent="0.2">
      <c r="B103" s="173" t="s">
        <v>236</v>
      </c>
      <c r="C103" s="568">
        <v>30</v>
      </c>
      <c r="D103" s="568">
        <v>55</v>
      </c>
      <c r="E103" s="568">
        <v>70</v>
      </c>
      <c r="F103" s="568">
        <v>77</v>
      </c>
      <c r="G103" s="567">
        <f t="shared" si="0"/>
        <v>0</v>
      </c>
      <c r="H103" s="569">
        <f>($C$103*$H$20)+($D$103*$I$20)+($E$103*$J$20)+($F$103*$K$20)</f>
        <v>0</v>
      </c>
      <c r="I103" s="251">
        <f>($C$103*$H$20)+($D$103*$I$20)+($E$103*$J$20)+($F$103*$K$20)</f>
        <v>0</v>
      </c>
      <c r="J103" s="508"/>
      <c r="K103" s="508"/>
      <c r="L103" s="507"/>
    </row>
    <row r="104" spans="2:14" ht="18" hidden="1" customHeight="1" x14ac:dyDescent="0.2">
      <c r="B104" s="173" t="s">
        <v>234</v>
      </c>
      <c r="C104" s="568">
        <v>68</v>
      </c>
      <c r="D104" s="568">
        <v>79</v>
      </c>
      <c r="E104" s="568">
        <v>86</v>
      </c>
      <c r="F104" s="568">
        <v>89</v>
      </c>
      <c r="G104" s="567">
        <f t="shared" si="0"/>
        <v>0</v>
      </c>
      <c r="H104" s="569">
        <f>($C$104*$H$21)+($D$104*$I$21)+($E$104*$J$21)+($F$104*$K$21)</f>
        <v>0</v>
      </c>
      <c r="I104" s="251">
        <f>($C$104*$H$21)+($D$104*$I$21)+($E$104*$J$21)+($F$104*$K$21)</f>
        <v>0</v>
      </c>
      <c r="J104" s="508"/>
      <c r="K104" s="508"/>
      <c r="L104" s="507"/>
    </row>
    <row r="105" spans="2:14" ht="18" hidden="1" customHeight="1" x14ac:dyDescent="0.2">
      <c r="B105" s="173" t="s">
        <v>237</v>
      </c>
      <c r="C105" s="568">
        <v>49</v>
      </c>
      <c r="D105" s="568">
        <v>69</v>
      </c>
      <c r="E105" s="568">
        <v>79</v>
      </c>
      <c r="F105" s="568">
        <v>84</v>
      </c>
      <c r="G105" s="567">
        <f t="shared" si="0"/>
        <v>0</v>
      </c>
      <c r="H105" s="569">
        <f>($C$105*$H$22)+($D$105*$I$22)+($E$105*$J$22)+($F$105*$K$22)</f>
        <v>0</v>
      </c>
      <c r="I105" s="251">
        <f>($C$105*$H$22)+($D$105*$I$22)+($E$105*$J$22)+($F$105*$K$22)</f>
        <v>0</v>
      </c>
      <c r="J105" s="508"/>
      <c r="K105" s="508"/>
      <c r="L105" s="507"/>
    </row>
    <row r="106" spans="2:14" ht="18" hidden="1" customHeight="1" x14ac:dyDescent="0.2">
      <c r="B106" s="173" t="s">
        <v>238</v>
      </c>
      <c r="C106" s="568">
        <v>39</v>
      </c>
      <c r="D106" s="568">
        <v>61</v>
      </c>
      <c r="E106" s="568">
        <v>74</v>
      </c>
      <c r="F106" s="568">
        <v>80</v>
      </c>
      <c r="G106" s="567">
        <f t="shared" si="0"/>
        <v>0</v>
      </c>
      <c r="H106" s="569">
        <f>($C$106*$H$23)+($D$106*$I$23)+($E$106*$J$23)+($F$106*$K$23)</f>
        <v>0</v>
      </c>
      <c r="I106" s="251">
        <f>($C$106*$H$23)+($D$106*$I$23)+($E$106*$J$23)+($F$106*$K$23)</f>
        <v>0</v>
      </c>
      <c r="J106" s="508"/>
      <c r="K106" s="508"/>
      <c r="L106" s="507"/>
    </row>
    <row r="107" spans="2:14" ht="15" hidden="1" customHeight="1" x14ac:dyDescent="0.2">
      <c r="B107" s="173" t="s">
        <v>245</v>
      </c>
      <c r="C107" s="568">
        <v>30</v>
      </c>
      <c r="D107" s="568">
        <v>55</v>
      </c>
      <c r="E107" s="568">
        <v>70</v>
      </c>
      <c r="F107" s="568">
        <v>77</v>
      </c>
      <c r="G107" s="567">
        <f t="shared" si="0"/>
        <v>0</v>
      </c>
      <c r="H107" s="569">
        <f>($C$107*$H$24)+($D$107*$I$24)+($E$107*$J$24)+($F$107*$K$24)</f>
        <v>0</v>
      </c>
      <c r="I107" s="251">
        <f>($C$107*$H$24)+($D$107*$I$24)+($E$107*$J$24)+($F$107*$K$24)</f>
        <v>0</v>
      </c>
      <c r="J107" s="508"/>
      <c r="K107" s="508"/>
      <c r="L107" s="507"/>
    </row>
    <row r="108" spans="2:14" ht="18.75" hidden="1" customHeight="1" thickBot="1" x14ac:dyDescent="0.25">
      <c r="B108" s="175" t="s">
        <v>243</v>
      </c>
      <c r="C108" s="176">
        <v>98</v>
      </c>
      <c r="D108" s="176">
        <v>98</v>
      </c>
      <c r="E108" s="177">
        <v>98</v>
      </c>
      <c r="F108" s="177">
        <v>98</v>
      </c>
      <c r="G108" s="228">
        <f>(C108*(D26+D25))+(D108*(E26+E25))+(E108*(F26+F25))+(F108*(G26+G25))</f>
        <v>0</v>
      </c>
      <c r="H108" s="229">
        <f>($C$108*(H25+H26))+($D$108*(I25+I26))+($E$108*(J25+J26))+($F$108*(K25+K26))</f>
        <v>0</v>
      </c>
      <c r="I108" s="252">
        <f>($C$108*H26)+($D$108*I26)+($E$108*J26)+($F$108*K26)</f>
        <v>0</v>
      </c>
      <c r="J108" s="508" t="s">
        <v>370</v>
      </c>
      <c r="K108" s="508"/>
      <c r="L108" s="507"/>
    </row>
    <row r="109" spans="2:14" ht="15.75" hidden="1" customHeight="1" thickBot="1" x14ac:dyDescent="0.25">
      <c r="B109" s="178"/>
      <c r="C109" s="146"/>
      <c r="D109" s="146"/>
      <c r="E109" s="869" t="s">
        <v>265</v>
      </c>
      <c r="F109" s="870"/>
      <c r="G109" s="414" t="e">
        <f>ROUND((SUM(G100:G108)/SUM(D17:G26)),2)</f>
        <v>#DIV/0!</v>
      </c>
      <c r="H109" s="414" t="e">
        <f>ROUND((SUM(H100:H108)/SUM(H17:K26)),2)</f>
        <v>#DIV/0!</v>
      </c>
      <c r="I109" s="415" t="e">
        <f>ROUND(SUM(I100:I108)/(SUM(H17:K26)-SUM(H25:K25)),2)</f>
        <v>#DIV/0!</v>
      </c>
      <c r="J109" s="508"/>
      <c r="K109" s="508"/>
      <c r="L109" s="507"/>
    </row>
    <row r="110" spans="2:14" ht="15" hidden="1" customHeight="1" x14ac:dyDescent="0.2">
      <c r="B110" s="509"/>
      <c r="C110" s="506"/>
      <c r="D110" s="506"/>
      <c r="E110" s="159"/>
      <c r="F110" s="159"/>
      <c r="G110" s="159"/>
      <c r="H110" s="506"/>
      <c r="I110" s="506"/>
      <c r="J110" s="507"/>
      <c r="K110" s="167"/>
      <c r="L110" s="168"/>
    </row>
    <row r="111" spans="2:14" ht="15.75" hidden="1" customHeight="1" thickBot="1" x14ac:dyDescent="0.25">
      <c r="B111" s="507"/>
      <c r="C111" s="507"/>
      <c r="D111" s="506"/>
      <c r="E111" s="507"/>
      <c r="F111" s="507"/>
      <c r="G111" s="507"/>
      <c r="H111" s="507"/>
      <c r="I111" s="507"/>
      <c r="J111" s="507"/>
      <c r="K111" s="507"/>
    </row>
    <row r="112" spans="2:14" ht="18.75" hidden="1" customHeight="1" thickBot="1" x14ac:dyDescent="0.3">
      <c r="B112" s="836" t="s">
        <v>383</v>
      </c>
      <c r="C112" s="837"/>
      <c r="D112" s="506"/>
      <c r="E112" s="849" t="s">
        <v>55</v>
      </c>
      <c r="F112" s="850"/>
      <c r="G112" s="850"/>
      <c r="H112" s="850"/>
      <c r="I112" s="850"/>
      <c r="J112" s="850"/>
      <c r="K112" s="850"/>
      <c r="L112" s="850"/>
      <c r="M112" s="850"/>
      <c r="N112" s="851"/>
    </row>
    <row r="113" spans="2:14" ht="15" hidden="1" customHeight="1" x14ac:dyDescent="0.2">
      <c r="B113" s="838"/>
      <c r="C113" s="839"/>
      <c r="D113" s="506"/>
      <c r="E113" s="865" t="s">
        <v>32</v>
      </c>
      <c r="F113" s="866"/>
      <c r="G113" s="866"/>
      <c r="H113" s="866"/>
      <c r="I113" s="866"/>
      <c r="J113" s="866"/>
      <c r="K113" s="866"/>
      <c r="L113" s="866"/>
      <c r="M113" s="866"/>
      <c r="N113" s="867"/>
    </row>
    <row r="114" spans="2:14" ht="18" hidden="1" customHeight="1" x14ac:dyDescent="0.2">
      <c r="B114" s="64"/>
      <c r="C114" s="113"/>
      <c r="D114" s="506"/>
      <c r="E114" s="265"/>
      <c r="F114" s="159"/>
      <c r="G114" s="266"/>
      <c r="H114" s="266"/>
      <c r="I114" s="266"/>
      <c r="J114" s="266"/>
      <c r="K114" s="510"/>
      <c r="L114" s="181"/>
      <c r="M114" s="506"/>
      <c r="N114" s="513"/>
    </row>
    <row r="115" spans="2:14" ht="20.25" hidden="1" customHeight="1" x14ac:dyDescent="0.35">
      <c r="B115" s="863" t="s">
        <v>40</v>
      </c>
      <c r="C115" s="864"/>
      <c r="D115" s="506"/>
      <c r="E115" s="265"/>
      <c r="F115" s="266"/>
      <c r="G115" s="267" t="s">
        <v>149</v>
      </c>
      <c r="H115" s="267"/>
      <c r="I115" s="268"/>
      <c r="J115" s="506" t="s">
        <v>138</v>
      </c>
      <c r="K115" s="510"/>
      <c r="L115" s="181"/>
      <c r="M115" s="506"/>
      <c r="N115" s="513"/>
    </row>
    <row r="116" spans="2:14" ht="60" hidden="1" customHeight="1" x14ac:dyDescent="0.2">
      <c r="B116" s="863" t="s">
        <v>22</v>
      </c>
      <c r="C116" s="864"/>
      <c r="D116" s="182" t="s">
        <v>304</v>
      </c>
      <c r="E116" s="265"/>
      <c r="F116" s="266"/>
      <c r="G116" s="267" t="s">
        <v>33</v>
      </c>
      <c r="H116" s="267"/>
      <c r="I116" s="267"/>
      <c r="J116" s="510"/>
      <c r="K116" s="267" t="s">
        <v>33</v>
      </c>
      <c r="L116" s="181"/>
      <c r="M116" s="506"/>
      <c r="N116" s="513"/>
    </row>
    <row r="117" spans="2:14" ht="19.5" hidden="1" customHeight="1" x14ac:dyDescent="0.35">
      <c r="B117" s="183" t="s">
        <v>45</v>
      </c>
      <c r="C117" s="184"/>
      <c r="D117" s="506"/>
      <c r="E117" s="265"/>
      <c r="F117" s="266"/>
      <c r="G117" s="267" t="s">
        <v>128</v>
      </c>
      <c r="H117" s="267"/>
      <c r="I117" s="267"/>
      <c r="J117" s="266"/>
      <c r="K117" s="506" t="s">
        <v>139</v>
      </c>
      <c r="L117" s="181"/>
      <c r="M117" s="506"/>
      <c r="N117" s="513"/>
    </row>
    <row r="118" spans="2:14" ht="19.5" hidden="1" customHeight="1" x14ac:dyDescent="0.35">
      <c r="B118" s="183" t="s">
        <v>41</v>
      </c>
      <c r="C118" s="114"/>
      <c r="D118" s="506"/>
      <c r="E118" s="265"/>
      <c r="F118" s="181"/>
      <c r="G118" s="267" t="s">
        <v>158</v>
      </c>
      <c r="H118" s="268"/>
      <c r="I118" s="268"/>
      <c r="J118" s="268"/>
      <c r="K118" s="506" t="s">
        <v>140</v>
      </c>
      <c r="L118" s="181"/>
      <c r="M118" s="506"/>
      <c r="N118" s="513"/>
    </row>
    <row r="119" spans="2:14" ht="20.25" hidden="1" customHeight="1" x14ac:dyDescent="0.35">
      <c r="B119" s="185"/>
      <c r="C119" s="184"/>
      <c r="D119" s="506"/>
      <c r="E119" s="265"/>
      <c r="F119" s="266"/>
      <c r="G119" s="267" t="s">
        <v>130</v>
      </c>
      <c r="H119" s="267"/>
      <c r="I119" s="267"/>
      <c r="J119" s="266"/>
      <c r="K119" s="510"/>
      <c r="L119" s="269"/>
      <c r="M119" s="506"/>
      <c r="N119" s="513"/>
    </row>
    <row r="120" spans="2:14" ht="15" hidden="1" customHeight="1" x14ac:dyDescent="0.2">
      <c r="B120" s="186" t="s">
        <v>48</v>
      </c>
      <c r="C120" s="184"/>
      <c r="D120" s="506"/>
      <c r="E120" s="265"/>
      <c r="F120" s="266"/>
      <c r="G120" s="267" t="s">
        <v>34</v>
      </c>
      <c r="H120" s="267"/>
      <c r="I120" s="267"/>
      <c r="J120" s="266"/>
      <c r="K120" s="510"/>
      <c r="L120" s="269"/>
      <c r="M120" s="506"/>
      <c r="N120" s="513"/>
    </row>
    <row r="121" spans="2:14" ht="19.5" hidden="1" customHeight="1" x14ac:dyDescent="0.35">
      <c r="B121" s="51" t="s">
        <v>20</v>
      </c>
      <c r="C121" s="187" t="s">
        <v>42</v>
      </c>
      <c r="D121" s="506"/>
      <c r="E121" s="265"/>
      <c r="F121" s="159"/>
      <c r="G121" s="267" t="s">
        <v>150</v>
      </c>
      <c r="H121" s="506"/>
      <c r="I121" s="506"/>
      <c r="J121" s="270"/>
      <c r="K121" s="506"/>
      <c r="L121" s="271"/>
      <c r="M121" s="506"/>
      <c r="N121" s="513"/>
    </row>
    <row r="122" spans="2:14" ht="15.75" hidden="1" customHeight="1" x14ac:dyDescent="0.2">
      <c r="B122" s="51" t="s">
        <v>20</v>
      </c>
      <c r="C122" s="115" t="e">
        <f>(1000/$G$109)-10</f>
        <v>#DIV/0!</v>
      </c>
      <c r="D122" s="506"/>
      <c r="E122" s="860" t="s">
        <v>35</v>
      </c>
      <c r="F122" s="861"/>
      <c r="G122" s="861"/>
      <c r="H122" s="861"/>
      <c r="I122" s="861"/>
      <c r="J122" s="861"/>
      <c r="K122" s="861"/>
      <c r="L122" s="861"/>
      <c r="M122" s="861"/>
      <c r="N122" s="862"/>
    </row>
    <row r="123" spans="2:14" ht="19.5" hidden="1" customHeight="1" x14ac:dyDescent="0.25">
      <c r="B123" s="188" t="s">
        <v>330</v>
      </c>
      <c r="C123" s="76" t="e">
        <f>(($D$11-(0.2*$C$122))^2)/($D$11+(0.8*$C$122))</f>
        <v>#DIV/0!</v>
      </c>
      <c r="D123" s="506"/>
      <c r="E123" s="265"/>
      <c r="F123" s="272"/>
      <c r="G123" s="269" t="s">
        <v>61</v>
      </c>
      <c r="H123" s="273" t="e">
        <f>N125</f>
        <v>#DIV/0!</v>
      </c>
      <c r="I123" s="269" t="s">
        <v>36</v>
      </c>
      <c r="J123" s="506"/>
      <c r="K123" s="511" t="s">
        <v>141</v>
      </c>
      <c r="L123" s="190" t="e">
        <f>IF(D73&gt;0.475,$J$147,IF(D73&gt;0.425,$J$146,IF(D73&gt;0.375,$J$145,IF(D73&gt;0.325,$J$144,IF(D73&gt;0.2,$J$143,$J$142)))))</f>
        <v>#DIV/0!</v>
      </c>
      <c r="M123" s="191"/>
      <c r="N123" s="232"/>
    </row>
    <row r="124" spans="2:14" ht="19.5" hidden="1" customHeight="1" x14ac:dyDescent="0.35">
      <c r="B124" s="188" t="s">
        <v>331</v>
      </c>
      <c r="C124" s="76" t="e">
        <f>(($D$12-(0.2*$C$122))^2)/($D$12+(0.8*$C$122))</f>
        <v>#DIV/0!</v>
      </c>
      <c r="D124" s="506"/>
      <c r="E124" s="274"/>
      <c r="F124" s="272"/>
      <c r="G124" s="269" t="s">
        <v>62</v>
      </c>
      <c r="H124" s="275">
        <f>(D9/640)</f>
        <v>0</v>
      </c>
      <c r="I124" s="269" t="s">
        <v>63</v>
      </c>
      <c r="J124" s="506"/>
      <c r="K124" s="511" t="s">
        <v>142</v>
      </c>
      <c r="L124" s="192" t="e">
        <f>IF(L123=J142,K142,IF(L123=J143,K143,IF(L123=J144,K144,IF(L123=J145,K145,IF(L123=J146,K146,IF(L123=J147,K147,""))))))</f>
        <v>#DIV/0!</v>
      </c>
      <c r="M124" s="165" t="s">
        <v>145</v>
      </c>
      <c r="N124" s="513" t="e">
        <f>L124+(L125*LOG(N126))+(L126*((LOG(N126))^2))</f>
        <v>#DIV/0!</v>
      </c>
    </row>
    <row r="125" spans="2:14" ht="19.5" hidden="1" customHeight="1" x14ac:dyDescent="0.35">
      <c r="B125" s="188" t="s">
        <v>332</v>
      </c>
      <c r="C125" s="76" t="e">
        <f>(($D$13-(0.2*$C$122))^2)/($D$13+(0.8*$C$122))</f>
        <v>#DIV/0!</v>
      </c>
      <c r="D125" s="506"/>
      <c r="E125" s="276" t="s">
        <v>151</v>
      </c>
      <c r="F125" s="277" t="e">
        <f>($D$15/$D$9)*100</f>
        <v>#DIV/0!</v>
      </c>
      <c r="G125" s="278" t="s">
        <v>169</v>
      </c>
      <c r="H125" s="273" t="e">
        <f>IF($F$125&gt;4.44,$N$157,IF($F$125&gt;2.44,$N$156,IF($F$125&gt;0.45,$N$155,IF($F$125&gt;0.144,$N$154,1))))</f>
        <v>#DIV/0!</v>
      </c>
      <c r="I125" s="269"/>
      <c r="J125" s="506"/>
      <c r="K125" s="511" t="s">
        <v>143</v>
      </c>
      <c r="L125" s="192" t="e">
        <f>IF($L$123=J142,L142,IF($L$123=J143,L143,IF($L$123=J144,L144,IF($L$123=J145,L145,IF($L$123=J146,L146,IF($L$123=J147,L147,""))))))</f>
        <v>#DIV/0!</v>
      </c>
      <c r="M125" s="165" t="s">
        <v>146</v>
      </c>
      <c r="N125" s="513" t="e">
        <f>10^N124</f>
        <v>#DIV/0!</v>
      </c>
    </row>
    <row r="126" spans="2:14" ht="19.5" hidden="1" customHeight="1" x14ac:dyDescent="0.35">
      <c r="B126" s="186" t="s">
        <v>49</v>
      </c>
      <c r="C126" s="184"/>
      <c r="D126" s="506"/>
      <c r="E126" s="233"/>
      <c r="F126" s="234"/>
      <c r="G126" s="234"/>
      <c r="H126" s="234"/>
      <c r="I126" s="234"/>
      <c r="J126" s="506"/>
      <c r="K126" s="511" t="s">
        <v>144</v>
      </c>
      <c r="L126" s="192" t="e">
        <f>IF($L$123=J142,M142,IF($L$123=J143,M143,IF($L$123=J144,M144,IF($L$123=J145,M145,IF($L$123=J146,M146,IF($L$123=J147,M147,""))))))</f>
        <v>#DIV/0!</v>
      </c>
      <c r="M126" s="165" t="s">
        <v>72</v>
      </c>
      <c r="N126" s="235">
        <f>D70</f>
        <v>0</v>
      </c>
    </row>
    <row r="127" spans="2:14" ht="18.75" hidden="1" customHeight="1" x14ac:dyDescent="0.2">
      <c r="B127" s="186"/>
      <c r="C127" s="184"/>
      <c r="D127" s="506"/>
      <c r="E127" s="276"/>
      <c r="F127" s="277"/>
      <c r="G127" s="279" t="s">
        <v>37</v>
      </c>
      <c r="H127" s="280" t="e">
        <f>$H$124*C123*$H$125*$H$123</f>
        <v>#DIV/0!</v>
      </c>
      <c r="I127" s="279" t="s">
        <v>38</v>
      </c>
      <c r="J127" s="506"/>
      <c r="K127" s="511"/>
      <c r="L127" s="192"/>
      <c r="M127" s="165"/>
      <c r="N127" s="235"/>
    </row>
    <row r="128" spans="2:14" ht="18.75" hidden="1" customHeight="1" x14ac:dyDescent="0.2">
      <c r="B128" s="186"/>
      <c r="C128" s="184"/>
      <c r="D128" s="506"/>
      <c r="E128" s="276"/>
      <c r="F128" s="277"/>
      <c r="G128" s="279" t="s">
        <v>327</v>
      </c>
      <c r="H128" s="280" t="e">
        <f>$H$124*C124*$H$125*$H$123</f>
        <v>#DIV/0!</v>
      </c>
      <c r="I128" s="279" t="s">
        <v>38</v>
      </c>
      <c r="J128" s="506"/>
      <c r="K128" s="511"/>
      <c r="L128" s="192"/>
      <c r="M128" s="165"/>
      <c r="N128" s="235"/>
    </row>
    <row r="129" spans="2:14" ht="18.75" hidden="1" customHeight="1" x14ac:dyDescent="0.2">
      <c r="B129" s="51" t="s">
        <v>20</v>
      </c>
      <c r="C129" s="187" t="s">
        <v>42</v>
      </c>
      <c r="D129" s="506"/>
      <c r="E129" s="265"/>
      <c r="F129" s="281"/>
      <c r="G129" s="279" t="s">
        <v>328</v>
      </c>
      <c r="H129" s="280" t="e">
        <f>$H$124*C125*$H$125*$H$123</f>
        <v>#DIV/0!</v>
      </c>
      <c r="I129" s="279" t="s">
        <v>38</v>
      </c>
      <c r="J129" s="506"/>
      <c r="K129" s="506"/>
      <c r="L129" s="159"/>
      <c r="M129" s="506"/>
      <c r="N129" s="202"/>
    </row>
    <row r="130" spans="2:14" ht="15.75" hidden="1" customHeight="1" x14ac:dyDescent="0.25">
      <c r="B130" s="51" t="s">
        <v>20</v>
      </c>
      <c r="C130" s="115" t="e">
        <f>(1000/D77)-10</f>
        <v>#DIV/0!</v>
      </c>
      <c r="D130" s="506"/>
      <c r="E130" s="857" t="s">
        <v>47</v>
      </c>
      <c r="F130" s="858"/>
      <c r="G130" s="858"/>
      <c r="H130" s="858"/>
      <c r="I130" s="858"/>
      <c r="J130" s="858"/>
      <c r="K130" s="858"/>
      <c r="L130" s="858"/>
      <c r="M130" s="858"/>
      <c r="N130" s="859"/>
    </row>
    <row r="131" spans="2:14" ht="19.5" hidden="1" customHeight="1" x14ac:dyDescent="0.25">
      <c r="B131" s="188" t="s">
        <v>330</v>
      </c>
      <c r="C131" s="76" t="e">
        <f>($D$11-(0.2*$C$130))^2/($D$11+(0.8*$C$130))</f>
        <v>#DIV/0!</v>
      </c>
      <c r="D131" s="506"/>
      <c r="E131" s="282"/>
      <c r="F131" s="272"/>
      <c r="G131" s="269" t="s">
        <v>61</v>
      </c>
      <c r="H131" s="273" t="e">
        <f>N133</f>
        <v>#DIV/0!</v>
      </c>
      <c r="I131" s="269" t="s">
        <v>36</v>
      </c>
      <c r="J131" s="506"/>
      <c r="K131" s="511" t="s">
        <v>141</v>
      </c>
      <c r="L131" s="190" t="e">
        <f>IF(H73&gt;0.475,$J$147,IF(H73&gt;0.425,$J$146,IF(H73&gt;0.375,$J$145,IF(H73&gt;0.325,$J$144,IF(H73&gt;0.2,$J$143,$J$142)))))</f>
        <v>#DIV/0!</v>
      </c>
      <c r="M131" s="506"/>
      <c r="N131" s="202"/>
    </row>
    <row r="132" spans="2:14" ht="19.5" hidden="1" customHeight="1" x14ac:dyDescent="0.35">
      <c r="B132" s="188" t="s">
        <v>331</v>
      </c>
      <c r="C132" s="76" t="e">
        <f>($D$12-(0.2*$C$130))^2/($D$12+(0.8*$C$130))</f>
        <v>#DIV/0!</v>
      </c>
      <c r="D132" s="506"/>
      <c r="E132" s="265"/>
      <c r="F132" s="283"/>
      <c r="G132" s="269" t="s">
        <v>62</v>
      </c>
      <c r="H132" s="275">
        <f>(H9/640)</f>
        <v>0</v>
      </c>
      <c r="I132" s="269" t="s">
        <v>63</v>
      </c>
      <c r="J132" s="506"/>
      <c r="K132" s="511" t="s">
        <v>142</v>
      </c>
      <c r="L132" s="192" t="e">
        <f>IF($L$131=J142,K142,IF($L$131=J143,K143,IF($L$131=J144,K144,IF($L$131=J145,K145,IF($L$131=J146,K146,IF($L$131=J147,K147,""))))))</f>
        <v>#DIV/0!</v>
      </c>
      <c r="M132" s="165" t="s">
        <v>145</v>
      </c>
      <c r="N132" s="202" t="e">
        <f>L132+(L133*LOG(N134))+(L134*((LOG(N134))^2))</f>
        <v>#DIV/0!</v>
      </c>
    </row>
    <row r="133" spans="2:14" ht="20.25" hidden="1" customHeight="1" thickBot="1" x14ac:dyDescent="0.4">
      <c r="B133" s="193" t="s">
        <v>332</v>
      </c>
      <c r="C133" s="138" t="e">
        <f>($D$13-(0.2*$C$130))^2/($D$13+(0.8*$C$130))</f>
        <v>#DIV/0!</v>
      </c>
      <c r="D133" s="506"/>
      <c r="E133" s="276" t="s">
        <v>151</v>
      </c>
      <c r="F133" s="277" t="e">
        <f>($H$15/$H$9)*100</f>
        <v>#DIV/0!</v>
      </c>
      <c r="G133" s="278" t="s">
        <v>169</v>
      </c>
      <c r="H133" s="273" t="e">
        <f>IF(F133&gt;4.44,$N$157,IF(F133&gt;2.44,$N$156,IF(F133&gt;0.45,$N$155,IF(F133&gt;0.144,$N$154,1))))</f>
        <v>#DIV/0!</v>
      </c>
      <c r="I133" s="279" t="s">
        <v>38</v>
      </c>
      <c r="J133" s="506"/>
      <c r="K133" s="511" t="s">
        <v>143</v>
      </c>
      <c r="L133" s="192" t="e">
        <f>IF($L$131=J142,L142,IF($L$131=J143,L143,IF($L$131=J144,L144,IF($L$131=J145,L145,IF($L$131=J146,L146,IF($L$131=J147,L147,""))))))</f>
        <v>#DIV/0!</v>
      </c>
      <c r="M133" s="165" t="s">
        <v>146</v>
      </c>
      <c r="N133" s="202" t="e">
        <f>10^N132</f>
        <v>#DIV/0!</v>
      </c>
    </row>
    <row r="134" spans="2:14" ht="19.5" hidden="1" customHeight="1" x14ac:dyDescent="0.35">
      <c r="B134" s="74"/>
      <c r="C134" s="93"/>
      <c r="D134" s="194"/>
      <c r="E134" s="276"/>
      <c r="F134" s="277"/>
      <c r="G134" s="278"/>
      <c r="H134" s="273"/>
      <c r="I134" s="279"/>
      <c r="J134" s="506"/>
      <c r="K134" s="511" t="s">
        <v>144</v>
      </c>
      <c r="L134" s="192" t="e">
        <f>IF($L$131=J142,M142,IF($L$131=J143,M143,IF($L$131=J144,M144,IF($L$131=J145,M145,IF($L$131=J146,M146,IF($L$131=J147,M147,""))))))</f>
        <v>#DIV/0!</v>
      </c>
      <c r="M134" s="165" t="s">
        <v>72</v>
      </c>
      <c r="N134" s="235">
        <f>H70</f>
        <v>0</v>
      </c>
    </row>
    <row r="135" spans="2:14" ht="18.75" hidden="1" customHeight="1" x14ac:dyDescent="0.25">
      <c r="B135" s="74"/>
      <c r="C135" s="93"/>
      <c r="D135" s="194"/>
      <c r="E135" s="276"/>
      <c r="F135" s="277"/>
      <c r="G135" s="279" t="s">
        <v>37</v>
      </c>
      <c r="H135" s="280" t="e">
        <f>$H$132*$C$131*$H$133*$H$131</f>
        <v>#DIV/0!</v>
      </c>
      <c r="I135" s="279" t="s">
        <v>38</v>
      </c>
      <c r="J135" s="506"/>
      <c r="K135" s="511"/>
      <c r="L135" s="192"/>
      <c r="M135" s="165"/>
      <c r="N135" s="235"/>
    </row>
    <row r="136" spans="2:14" ht="18.75" hidden="1" customHeight="1" x14ac:dyDescent="0.25">
      <c r="B136" s="74"/>
      <c r="C136" s="93"/>
      <c r="D136" s="194"/>
      <c r="E136" s="276"/>
      <c r="F136" s="277"/>
      <c r="G136" s="279" t="s">
        <v>327</v>
      </c>
      <c r="H136" s="280" t="e">
        <f>$H$132*$C$132*$H$133*$H$131</f>
        <v>#DIV/0!</v>
      </c>
      <c r="I136" s="279" t="s">
        <v>38</v>
      </c>
      <c r="J136" s="506"/>
      <c r="K136" s="511"/>
      <c r="L136" s="192"/>
      <c r="M136" s="165"/>
      <c r="N136" s="235"/>
    </row>
    <row r="137" spans="2:14" ht="19.5" hidden="1" customHeight="1" thickBot="1" x14ac:dyDescent="0.25">
      <c r="B137" s="195"/>
      <c r="C137" s="75"/>
      <c r="D137" s="506"/>
      <c r="E137" s="211"/>
      <c r="F137" s="501"/>
      <c r="G137" s="285" t="s">
        <v>328</v>
      </c>
      <c r="H137" s="284" t="e">
        <f>$H$132*$C$133*$H$133*$H$131</f>
        <v>#DIV/0!</v>
      </c>
      <c r="I137" s="285" t="s">
        <v>38</v>
      </c>
      <c r="J137" s="501"/>
      <c r="K137" s="501"/>
      <c r="L137" s="236"/>
      <c r="M137" s="501"/>
      <c r="N137" s="222"/>
    </row>
    <row r="138" spans="2:14" ht="15.75" hidden="1" customHeight="1" thickBot="1" x14ac:dyDescent="0.25">
      <c r="B138" s="507"/>
      <c r="C138" s="507"/>
      <c r="D138" s="507"/>
      <c r="E138" s="160"/>
      <c r="F138" s="160"/>
      <c r="G138" s="160"/>
      <c r="H138" s="507"/>
      <c r="I138" s="198"/>
      <c r="J138" s="506"/>
      <c r="K138" s="506"/>
      <c r="L138" s="159"/>
      <c r="M138" s="506"/>
      <c r="N138" s="465"/>
    </row>
    <row r="139" spans="2:14" ht="15.75" hidden="1" customHeight="1" thickBot="1" x14ac:dyDescent="0.25">
      <c r="B139" s="507"/>
      <c r="C139" s="507"/>
      <c r="D139" s="507"/>
      <c r="E139" s="160"/>
      <c r="F139" s="160"/>
      <c r="G139" s="160"/>
      <c r="H139" s="507"/>
      <c r="I139" s="198"/>
      <c r="J139" s="871" t="s">
        <v>152</v>
      </c>
      <c r="K139" s="872"/>
      <c r="L139" s="872"/>
      <c r="M139" s="873"/>
      <c r="N139" s="466"/>
    </row>
    <row r="140" spans="2:14" ht="15.75" hidden="1" customHeight="1" thickBot="1" x14ac:dyDescent="0.25">
      <c r="B140" s="840" t="s">
        <v>84</v>
      </c>
      <c r="C140" s="841"/>
      <c r="D140" s="841"/>
      <c r="E140" s="841"/>
      <c r="F140" s="841"/>
      <c r="G140" s="842"/>
      <c r="H140" s="507"/>
      <c r="I140" s="198"/>
      <c r="J140" s="874"/>
      <c r="K140" s="875"/>
      <c r="L140" s="875"/>
      <c r="M140" s="876"/>
      <c r="N140" s="467"/>
    </row>
    <row r="141" spans="2:14" ht="15.75" hidden="1" customHeight="1" thickBot="1" x14ac:dyDescent="0.25">
      <c r="B141" s="846"/>
      <c r="C141" s="847"/>
      <c r="D141" s="847"/>
      <c r="E141" s="847"/>
      <c r="F141" s="847"/>
      <c r="G141" s="848"/>
      <c r="H141" s="507"/>
      <c r="I141" s="198"/>
      <c r="J141" s="91" t="s">
        <v>135</v>
      </c>
      <c r="K141" s="92" t="s">
        <v>136</v>
      </c>
      <c r="L141" s="92" t="s">
        <v>137</v>
      </c>
      <c r="M141" s="468" t="s">
        <v>525</v>
      </c>
      <c r="N141" s="469"/>
    </row>
    <row r="142" spans="2:14" ht="15.75" hidden="1" customHeight="1" x14ac:dyDescent="0.2">
      <c r="B142" s="199" t="s">
        <v>81</v>
      </c>
      <c r="C142" s="200"/>
      <c r="D142" s="200"/>
      <c r="E142" s="200"/>
      <c r="F142" s="200"/>
      <c r="G142" s="201" t="s">
        <v>82</v>
      </c>
      <c r="H142" s="507"/>
      <c r="I142" s="198"/>
      <c r="J142" s="88">
        <v>0.1</v>
      </c>
      <c r="K142" s="87">
        <v>2.5532300000000001</v>
      </c>
      <c r="L142" s="87">
        <v>-0.61512</v>
      </c>
      <c r="M142" s="470">
        <v>-0.16403000000000001</v>
      </c>
      <c r="N142" s="469"/>
    </row>
    <row r="143" spans="2:14" ht="15" hidden="1" customHeight="1" x14ac:dyDescent="0.2">
      <c r="B143" s="178" t="s">
        <v>91</v>
      </c>
      <c r="C143" s="146"/>
      <c r="D143" s="146"/>
      <c r="E143" s="146"/>
      <c r="F143" s="146"/>
      <c r="G143" s="202">
        <v>1.0999999999999999E-2</v>
      </c>
      <c r="H143" s="507"/>
      <c r="I143" s="198"/>
      <c r="J143" s="88">
        <v>0.3</v>
      </c>
      <c r="K143" s="87">
        <v>2.4653200000000002</v>
      </c>
      <c r="L143" s="87">
        <v>-0.62256999999999996</v>
      </c>
      <c r="M143" s="470">
        <v>-0.11656999999999999</v>
      </c>
      <c r="N143" s="469"/>
    </row>
    <row r="144" spans="2:14" ht="15" hidden="1" customHeight="1" x14ac:dyDescent="0.2">
      <c r="B144" s="178" t="s">
        <v>83</v>
      </c>
      <c r="C144" s="146"/>
      <c r="D144" s="146"/>
      <c r="E144" s="146"/>
      <c r="F144" s="146"/>
      <c r="G144" s="202">
        <v>0.24</v>
      </c>
      <c r="H144" s="507"/>
      <c r="I144" s="198"/>
      <c r="J144" s="88">
        <v>0.35</v>
      </c>
      <c r="K144" s="87">
        <v>2.4189600000000002</v>
      </c>
      <c r="L144" s="87">
        <v>-0.61594000000000004</v>
      </c>
      <c r="M144" s="470">
        <v>-8.8200000000000001E-2</v>
      </c>
      <c r="N144" s="469"/>
    </row>
    <row r="145" spans="2:14" ht="15.75" hidden="1" customHeight="1" thickBot="1" x14ac:dyDescent="0.25">
      <c r="B145" s="203" t="s">
        <v>13</v>
      </c>
      <c r="C145" s="204"/>
      <c r="D145" s="204"/>
      <c r="E145" s="204"/>
      <c r="F145" s="204"/>
      <c r="G145" s="205">
        <v>0.4</v>
      </c>
      <c r="H145" s="507"/>
      <c r="I145" s="198"/>
      <c r="J145" s="88">
        <v>0.4</v>
      </c>
      <c r="K145" s="87">
        <v>2.36409</v>
      </c>
      <c r="L145" s="87">
        <v>-0.59857000000000005</v>
      </c>
      <c r="M145" s="470">
        <v>-5.6210000000000003E-2</v>
      </c>
      <c r="N145" s="471"/>
    </row>
    <row r="146" spans="2:14" ht="15.75" hidden="1" customHeight="1" thickBot="1" x14ac:dyDescent="0.25">
      <c r="B146" s="507"/>
      <c r="C146" s="507"/>
      <c r="D146" s="507"/>
      <c r="E146" s="160"/>
      <c r="F146" s="160"/>
      <c r="G146" s="160"/>
      <c r="H146" s="507"/>
      <c r="I146" s="198"/>
      <c r="J146" s="88">
        <v>0.45</v>
      </c>
      <c r="K146" s="87">
        <v>2.2923800000000001</v>
      </c>
      <c r="L146" s="87">
        <v>-0.57004999999999995</v>
      </c>
      <c r="M146" s="470">
        <v>-2.281E-2</v>
      </c>
      <c r="N146" s="472"/>
    </row>
    <row r="147" spans="2:14" ht="15.75" hidden="1" customHeight="1" thickBot="1" x14ac:dyDescent="0.25">
      <c r="B147" s="840" t="s">
        <v>216</v>
      </c>
      <c r="C147" s="841"/>
      <c r="D147" s="841"/>
      <c r="E147" s="841"/>
      <c r="F147" s="841"/>
      <c r="G147" s="842"/>
      <c r="H147" s="507"/>
      <c r="I147" s="198"/>
      <c r="J147" s="89">
        <v>0.5</v>
      </c>
      <c r="K147" s="90">
        <v>2.20282</v>
      </c>
      <c r="L147" s="90">
        <v>-0.51598999999999995</v>
      </c>
      <c r="M147" s="473">
        <v>-1.259E-2</v>
      </c>
      <c r="N147" s="474"/>
    </row>
    <row r="148" spans="2:14" ht="15.75" hidden="1" customHeight="1" thickBot="1" x14ac:dyDescent="0.25">
      <c r="B148" s="843"/>
      <c r="C148" s="844"/>
      <c r="D148" s="844"/>
      <c r="E148" s="844"/>
      <c r="F148" s="844"/>
      <c r="G148" s="845"/>
      <c r="H148" s="507"/>
      <c r="I148" s="198"/>
      <c r="J148" s="105"/>
      <c r="K148" s="112"/>
      <c r="L148" s="107"/>
      <c r="M148" s="106"/>
      <c r="N148" s="474"/>
    </row>
    <row r="149" spans="2:14" ht="15.75" hidden="1" customHeight="1" thickBot="1" x14ac:dyDescent="0.25">
      <c r="B149" s="846"/>
      <c r="C149" s="847"/>
      <c r="D149" s="847"/>
      <c r="E149" s="847"/>
      <c r="F149" s="847"/>
      <c r="G149" s="848"/>
      <c r="H149" s="507"/>
      <c r="I149" s="877" t="s">
        <v>148</v>
      </c>
      <c r="J149" s="841"/>
      <c r="K149" s="841"/>
      <c r="L149" s="841"/>
      <c r="M149" s="841"/>
      <c r="N149" s="878"/>
    </row>
    <row r="150" spans="2:14" ht="15.75" hidden="1" customHeight="1" x14ac:dyDescent="0.25">
      <c r="B150" s="207" t="s">
        <v>117</v>
      </c>
      <c r="C150" s="512"/>
      <c r="D150" s="512"/>
      <c r="E150" s="512"/>
      <c r="F150" s="512"/>
      <c r="G150" s="208" t="s">
        <v>82</v>
      </c>
      <c r="H150" s="507"/>
      <c r="I150" s="879"/>
      <c r="J150" s="844"/>
      <c r="K150" s="844"/>
      <c r="L150" s="844"/>
      <c r="M150" s="844"/>
      <c r="N150" s="880"/>
    </row>
    <row r="151" spans="2:14" ht="15.75" hidden="1" customHeight="1" thickBot="1" x14ac:dyDescent="0.25">
      <c r="B151" s="509" t="s">
        <v>118</v>
      </c>
      <c r="C151" s="506"/>
      <c r="D151" s="506"/>
      <c r="E151" s="506"/>
      <c r="F151" s="506"/>
      <c r="G151" s="202">
        <v>1.6E-2</v>
      </c>
      <c r="H151" s="507"/>
      <c r="I151" s="881"/>
      <c r="J151" s="847"/>
      <c r="K151" s="847"/>
      <c r="L151" s="847"/>
      <c r="M151" s="847"/>
      <c r="N151" s="882"/>
    </row>
    <row r="152" spans="2:14" ht="18.75" hidden="1" customHeight="1" x14ac:dyDescent="0.25">
      <c r="B152" s="509" t="s">
        <v>119</v>
      </c>
      <c r="C152" s="506"/>
      <c r="D152" s="506"/>
      <c r="E152" s="506"/>
      <c r="F152" s="506"/>
      <c r="G152" s="202">
        <v>1.2E-2</v>
      </c>
      <c r="H152" s="507"/>
      <c r="I152" s="209" t="s">
        <v>147</v>
      </c>
      <c r="J152" s="512"/>
      <c r="K152" s="512"/>
      <c r="L152" s="197"/>
      <c r="M152" s="512"/>
      <c r="N152" s="475" t="s">
        <v>526</v>
      </c>
    </row>
    <row r="153" spans="2:14" ht="15" hidden="1" customHeight="1" x14ac:dyDescent="0.2">
      <c r="B153" s="509" t="s">
        <v>120</v>
      </c>
      <c r="C153" s="506"/>
      <c r="D153" s="506"/>
      <c r="E153" s="506"/>
      <c r="F153" s="506"/>
      <c r="G153" s="202">
        <v>1.4E-2</v>
      </c>
      <c r="H153" s="507"/>
      <c r="I153" s="210">
        <v>0</v>
      </c>
      <c r="J153" s="506"/>
      <c r="K153" s="506"/>
      <c r="L153" s="160" t="s">
        <v>153</v>
      </c>
      <c r="M153" s="506"/>
      <c r="N153" s="476">
        <v>1</v>
      </c>
    </row>
    <row r="154" spans="2:14" ht="15" hidden="1" customHeight="1" x14ac:dyDescent="0.2">
      <c r="B154" s="509" t="s">
        <v>83</v>
      </c>
      <c r="C154" s="506"/>
      <c r="D154" s="506"/>
      <c r="E154" s="506"/>
      <c r="F154" s="506"/>
      <c r="G154" s="202">
        <v>3.5000000000000003E-2</v>
      </c>
      <c r="H154" s="507"/>
      <c r="I154" s="210">
        <v>0.2</v>
      </c>
      <c r="J154" s="506"/>
      <c r="K154" s="506"/>
      <c r="L154" s="159" t="s">
        <v>157</v>
      </c>
      <c r="M154" s="506"/>
      <c r="N154" s="477">
        <v>0.97</v>
      </c>
    </row>
    <row r="155" spans="2:14" ht="15" hidden="1" customHeight="1" x14ac:dyDescent="0.2">
      <c r="B155" s="509" t="s">
        <v>122</v>
      </c>
      <c r="C155" s="506"/>
      <c r="D155" s="506"/>
      <c r="E155" s="506"/>
      <c r="F155" s="506"/>
      <c r="G155" s="202">
        <v>3.3000000000000002E-2</v>
      </c>
      <c r="H155" s="507"/>
      <c r="I155" s="210">
        <v>1</v>
      </c>
      <c r="J155" s="506"/>
      <c r="K155" s="506"/>
      <c r="L155" s="159" t="s">
        <v>156</v>
      </c>
      <c r="M155" s="506"/>
      <c r="N155" s="477">
        <v>0.87</v>
      </c>
    </row>
    <row r="156" spans="2:14" ht="15.75" hidden="1" customHeight="1" thickBot="1" x14ac:dyDescent="0.25">
      <c r="B156" s="211" t="s">
        <v>121</v>
      </c>
      <c r="C156" s="501"/>
      <c r="D156" s="501"/>
      <c r="E156" s="501"/>
      <c r="F156" s="501"/>
      <c r="G156" s="213">
        <v>0.04</v>
      </c>
      <c r="H156" s="507"/>
      <c r="I156" s="210">
        <v>3</v>
      </c>
      <c r="J156" s="506"/>
      <c r="K156" s="506"/>
      <c r="L156" s="159" t="s">
        <v>155</v>
      </c>
      <c r="M156" s="506"/>
      <c r="N156" s="477">
        <v>0.75</v>
      </c>
    </row>
    <row r="157" spans="2:14" ht="15" hidden="1" customHeight="1" x14ac:dyDescent="0.2">
      <c r="B157" s="507"/>
      <c r="C157" s="507"/>
      <c r="D157" s="507"/>
      <c r="E157" s="160"/>
      <c r="F157" s="160"/>
      <c r="G157" s="160"/>
      <c r="H157" s="507"/>
      <c r="I157" s="210">
        <v>5</v>
      </c>
      <c r="J157" s="506"/>
      <c r="K157" s="506"/>
      <c r="L157" s="214" t="s">
        <v>154</v>
      </c>
      <c r="M157" s="506"/>
      <c r="N157" s="477">
        <v>0.72</v>
      </c>
    </row>
    <row r="158" spans="2:14" ht="15.75" hidden="1" customHeight="1" x14ac:dyDescent="0.25">
      <c r="B158" s="215" t="s">
        <v>46</v>
      </c>
      <c r="C158" s="216"/>
      <c r="D158" s="216"/>
      <c r="E158" s="217"/>
      <c r="F158" s="217"/>
      <c r="G158" s="217"/>
      <c r="H158" s="216"/>
      <c r="I158" s="218"/>
      <c r="J158" s="117"/>
      <c r="K158" s="116"/>
      <c r="L158" s="107"/>
      <c r="M158" s="478"/>
      <c r="N158" s="474"/>
    </row>
    <row r="159" spans="2:14" ht="15.75" hidden="1" customHeight="1" thickBot="1" x14ac:dyDescent="0.25">
      <c r="B159" s="219" t="s">
        <v>102</v>
      </c>
      <c r="C159" s="216"/>
      <c r="D159" s="216"/>
      <c r="E159" s="217"/>
      <c r="F159" s="217"/>
      <c r="G159" s="217"/>
      <c r="H159" s="216"/>
      <c r="I159" s="220"/>
      <c r="J159" s="118"/>
      <c r="K159" s="119"/>
      <c r="L159" s="108"/>
      <c r="M159" s="479"/>
      <c r="N159" s="480"/>
    </row>
    <row r="160" spans="2:14" ht="15.75" hidden="1" customHeight="1" thickTop="1" x14ac:dyDescent="0.2">
      <c r="B160" s="219" t="s">
        <v>103</v>
      </c>
      <c r="C160" s="216"/>
      <c r="D160" s="216"/>
      <c r="E160" s="217"/>
      <c r="F160" s="217"/>
      <c r="G160" s="217"/>
      <c r="H160" s="216"/>
      <c r="I160" s="216"/>
      <c r="J160" s="117"/>
      <c r="K160" s="120"/>
      <c r="L160" s="109"/>
    </row>
    <row r="161" spans="2:14" ht="15" hidden="1" customHeight="1" x14ac:dyDescent="0.2">
      <c r="B161" s="216"/>
      <c r="C161" s="216"/>
      <c r="D161" s="216"/>
      <c r="E161" s="217"/>
      <c r="F161" s="217"/>
      <c r="G161" s="217"/>
      <c r="H161" s="216"/>
      <c r="I161" s="117"/>
      <c r="J161" s="107"/>
      <c r="K161" s="106"/>
      <c r="L161" s="110"/>
    </row>
    <row r="162" spans="2:14" ht="15.75" hidden="1" customHeight="1" thickBot="1" x14ac:dyDescent="0.25">
      <c r="B162" s="216"/>
      <c r="C162" s="217"/>
      <c r="D162" s="217"/>
      <c r="E162" s="217"/>
      <c r="F162" s="216"/>
      <c r="G162" s="216"/>
      <c r="H162" s="117"/>
      <c r="I162" s="111"/>
      <c r="J162" s="105"/>
      <c r="K162" s="206"/>
      <c r="L162" s="507"/>
    </row>
    <row r="163" spans="2:14" ht="16.5" hidden="1" customHeight="1" thickBot="1" x14ac:dyDescent="0.3">
      <c r="B163" s="852" t="s">
        <v>206</v>
      </c>
      <c r="C163" s="853"/>
      <c r="D163" s="853"/>
      <c r="E163" s="853"/>
      <c r="F163" s="854"/>
      <c r="G163" s="514"/>
      <c r="H163" s="514"/>
      <c r="I163" s="507"/>
      <c r="J163" s="542"/>
      <c r="K163" s="543" t="s">
        <v>532</v>
      </c>
      <c r="L163" s="544"/>
    </row>
    <row r="164" spans="2:14" ht="15" hidden="1" customHeight="1" x14ac:dyDescent="0.2">
      <c r="B164" s="517"/>
      <c r="C164" s="510"/>
      <c r="D164" s="510"/>
      <c r="E164" s="510"/>
      <c r="F164" s="518"/>
      <c r="G164" s="514"/>
      <c r="H164" s="514"/>
      <c r="I164" s="507"/>
      <c r="J164" s="530"/>
      <c r="K164" s="512"/>
      <c r="L164" s="522"/>
    </row>
    <row r="165" spans="2:14" ht="19.5" hidden="1" customHeight="1" x14ac:dyDescent="0.35">
      <c r="B165" s="509" t="s">
        <v>533</v>
      </c>
      <c r="C165" s="510"/>
      <c r="D165" s="510"/>
      <c r="E165" s="510"/>
      <c r="F165" s="518"/>
      <c r="G165" s="508"/>
      <c r="H165" s="514"/>
      <c r="I165" s="507"/>
      <c r="J165" s="509" t="s">
        <v>534</v>
      </c>
      <c r="K165" s="506"/>
      <c r="L165" s="513"/>
    </row>
    <row r="166" spans="2:14" ht="15" hidden="1" customHeight="1" x14ac:dyDescent="0.2">
      <c r="B166" s="509"/>
      <c r="C166" s="510"/>
      <c r="D166" s="510"/>
      <c r="E166" s="510"/>
      <c r="F166" s="518"/>
      <c r="G166" s="508"/>
      <c r="H166" s="514"/>
      <c r="I166" s="507"/>
      <c r="J166" s="509" t="s">
        <v>535</v>
      </c>
      <c r="K166" s="506"/>
      <c r="L166" s="513"/>
    </row>
    <row r="167" spans="2:14" ht="15" hidden="1" customHeight="1" x14ac:dyDescent="0.2">
      <c r="B167" s="524" t="s">
        <v>536</v>
      </c>
      <c r="C167" s="549">
        <f>SUM(H25:K26)</f>
        <v>0</v>
      </c>
      <c r="D167" s="510"/>
      <c r="E167" s="524" t="s">
        <v>537</v>
      </c>
      <c r="F167" s="533">
        <f>SUM(H17:K24)</f>
        <v>0</v>
      </c>
      <c r="G167" s="547" t="s">
        <v>538</v>
      </c>
      <c r="H167" s="514"/>
      <c r="I167" s="507"/>
      <c r="J167" s="509" t="s">
        <v>539</v>
      </c>
      <c r="K167" s="506"/>
      <c r="L167" s="513"/>
    </row>
    <row r="168" spans="2:14" ht="19.5" hidden="1" customHeight="1" x14ac:dyDescent="0.35">
      <c r="B168" s="519" t="s">
        <v>540</v>
      </c>
      <c r="C168" s="515">
        <f>(1000/98)-10</f>
        <v>0.20408163265306101</v>
      </c>
      <c r="D168" s="510"/>
      <c r="E168" s="505" t="s">
        <v>380</v>
      </c>
      <c r="F168" s="520" t="e">
        <f>IF(I109&gt;64,(1000/I109)-10,0)</f>
        <v>#DIV/0!</v>
      </c>
      <c r="G168" s="514"/>
      <c r="H168" s="514"/>
      <c r="I168" s="507"/>
      <c r="J168" s="509" t="s">
        <v>541</v>
      </c>
      <c r="K168" s="506"/>
      <c r="L168" s="513"/>
    </row>
    <row r="169" spans="2:14" ht="20.25" hidden="1" customHeight="1" thickBot="1" x14ac:dyDescent="0.25">
      <c r="B169" s="519" t="s">
        <v>542</v>
      </c>
      <c r="C169" s="516">
        <f>(1-(0.2*$C$168))^2/(1+(0.8*$C$168))</f>
        <v>0.79090583601861819</v>
      </c>
      <c r="D169" s="510"/>
      <c r="E169" s="505" t="s">
        <v>381</v>
      </c>
      <c r="F169" s="548" t="e">
        <f>IF(I109&gt;64,(1-(0.2*F168))^2/(1+(0.8*F168)),0)</f>
        <v>#DIV/0!</v>
      </c>
      <c r="G169" s="514"/>
      <c r="H169" s="514"/>
      <c r="I169" s="523"/>
      <c r="J169" s="538"/>
      <c r="K169" s="511" t="s">
        <v>543</v>
      </c>
      <c r="L169" s="539" t="e">
        <f>(SUM(H25:K26))/H9</f>
        <v>#DIV/0!</v>
      </c>
      <c r="M169" s="507" t="s">
        <v>544</v>
      </c>
    </row>
    <row r="170" spans="2:14" s="497" customFormat="1" ht="24" hidden="1" customHeight="1" thickBot="1" x14ac:dyDescent="0.4">
      <c r="B170" s="524" t="s">
        <v>545</v>
      </c>
      <c r="C170" s="545">
        <f>(C169/12)*(C167*43560)</f>
        <v>0</v>
      </c>
      <c r="D170" s="511"/>
      <c r="E170" s="511" t="s">
        <v>545</v>
      </c>
      <c r="F170" s="546" t="e">
        <f>(F169/12)*(F167*43560)</f>
        <v>#DIV/0!</v>
      </c>
      <c r="G170" s="530" t="s">
        <v>546</v>
      </c>
      <c r="H170" s="521"/>
      <c r="I170" s="536"/>
      <c r="J170" s="540"/>
      <c r="K170" s="511" t="s">
        <v>547</v>
      </c>
      <c r="L170" s="539" t="e">
        <f>0.05+(0.9*L169)</f>
        <v>#DIV/0!</v>
      </c>
      <c r="M170" s="523"/>
      <c r="N170" s="523"/>
    </row>
    <row r="171" spans="2:14" s="497" customFormat="1" ht="24" hidden="1" customHeight="1" thickBot="1" x14ac:dyDescent="0.4">
      <c r="B171" s="524" t="s">
        <v>382</v>
      </c>
      <c r="C171" s="525" t="e">
        <f>(C169*C167+F169*F167)/H10</f>
        <v>#DIV/0!</v>
      </c>
      <c r="D171" s="526"/>
      <c r="E171" s="510"/>
      <c r="F171" s="518"/>
      <c r="G171" s="552" t="e">
        <f>C170+F170</f>
        <v>#DIV/0!</v>
      </c>
      <c r="H171" s="532"/>
      <c r="I171" s="506" t="s">
        <v>548</v>
      </c>
      <c r="J171" s="540"/>
      <c r="K171" s="534" t="s">
        <v>549</v>
      </c>
      <c r="L171" s="535" t="e">
        <f>3630*1*L170*H9</f>
        <v>#DIV/0!</v>
      </c>
      <c r="M171" s="523"/>
      <c r="N171" s="523"/>
    </row>
    <row r="172" spans="2:14" s="497" customFormat="1" ht="15.75" hidden="1" customHeight="1" thickBot="1" x14ac:dyDescent="0.25">
      <c r="B172" s="527"/>
      <c r="C172" s="528"/>
      <c r="D172" s="528"/>
      <c r="E172" s="528"/>
      <c r="F172" s="529"/>
      <c r="G172" s="527"/>
      <c r="H172" s="528"/>
      <c r="I172" s="537"/>
      <c r="J172" s="541"/>
      <c r="K172" s="537"/>
      <c r="L172" s="531"/>
      <c r="M172" s="523"/>
      <c r="N172" s="523"/>
    </row>
    <row r="173" spans="2:14" s="497" customFormat="1" ht="15" hidden="1" customHeight="1" x14ac:dyDescent="0.2">
      <c r="B173" s="868" t="s">
        <v>161</v>
      </c>
      <c r="C173" s="868"/>
      <c r="D173" s="868"/>
      <c r="E173" s="868"/>
      <c r="F173" s="523"/>
      <c r="G173" s="523"/>
      <c r="H173" s="523"/>
      <c r="I173" s="523"/>
      <c r="J173" s="523"/>
      <c r="K173" s="523"/>
      <c r="L173" s="523"/>
      <c r="M173" s="523"/>
      <c r="N173" s="523"/>
    </row>
    <row r="174" spans="2:14" s="497" customFormat="1" ht="15.75" hidden="1" customHeight="1" thickBot="1" x14ac:dyDescent="0.25">
      <c r="B174" s="868"/>
      <c r="C174" s="868"/>
      <c r="D174" s="868"/>
      <c r="E174" s="868"/>
      <c r="F174" s="523"/>
      <c r="G174" s="523"/>
      <c r="H174" s="523"/>
      <c r="I174" s="507"/>
      <c r="J174" s="523"/>
      <c r="K174" s="523"/>
      <c r="L174" s="523"/>
      <c r="M174" s="523"/>
      <c r="N174" s="523"/>
    </row>
    <row r="175" spans="2:14" s="497" customFormat="1" ht="16.5" hidden="1" customHeight="1" thickBot="1" x14ac:dyDescent="0.3">
      <c r="B175" s="351"/>
      <c r="C175" s="352"/>
      <c r="D175" s="353"/>
      <c r="E175" s="351"/>
      <c r="F175" s="523"/>
      <c r="G175" s="523"/>
      <c r="H175" s="523"/>
      <c r="I175" s="507" t="s">
        <v>550</v>
      </c>
      <c r="J175" s="523"/>
      <c r="K175" s="551" t="e">
        <f>IF(G171&gt;L171,G171,L171)</f>
        <v>#DIV/0!</v>
      </c>
      <c r="L175" s="507" t="s">
        <v>551</v>
      </c>
      <c r="M175" s="523"/>
      <c r="N175" s="523"/>
    </row>
    <row r="176" spans="2:14" s="497" customFormat="1" ht="19.5" hidden="1" customHeight="1" x14ac:dyDescent="0.2">
      <c r="B176" s="833" t="s">
        <v>227</v>
      </c>
      <c r="C176" s="833"/>
      <c r="D176" s="833"/>
      <c r="E176" s="833"/>
      <c r="F176" s="507"/>
      <c r="G176" s="523"/>
      <c r="H176" s="349"/>
      <c r="I176" s="350"/>
      <c r="J176" s="523"/>
      <c r="K176" s="523"/>
      <c r="L176" s="523"/>
      <c r="M176" s="523"/>
      <c r="N176" s="523"/>
    </row>
    <row r="177" spans="2:14" s="497" customFormat="1" ht="15" hidden="1" customHeight="1" x14ac:dyDescent="0.2">
      <c r="B177" s="834" t="s">
        <v>33</v>
      </c>
      <c r="C177" s="834"/>
      <c r="D177" s="834"/>
      <c r="E177" s="834"/>
      <c r="F177" s="523"/>
      <c r="G177" s="523"/>
      <c r="H177" s="523"/>
      <c r="I177" s="523"/>
      <c r="J177" s="523"/>
      <c r="K177" s="523"/>
      <c r="L177" s="523"/>
      <c r="M177" s="523"/>
      <c r="N177" s="523"/>
    </row>
    <row r="178" spans="2:14" s="497" customFormat="1" ht="19.5" hidden="1" customHeight="1" x14ac:dyDescent="0.2">
      <c r="B178" s="833" t="s">
        <v>228</v>
      </c>
      <c r="C178" s="833"/>
      <c r="D178" s="833"/>
      <c r="E178" s="833"/>
      <c r="F178" s="523"/>
      <c r="G178" s="523"/>
      <c r="H178" s="523"/>
      <c r="I178" s="523"/>
      <c r="J178" s="523"/>
      <c r="K178" s="523"/>
      <c r="L178" s="523"/>
      <c r="M178" s="523"/>
      <c r="N178" s="523"/>
    </row>
    <row r="179" spans="2:14" s="497" customFormat="1" ht="19.5" hidden="1" customHeight="1" x14ac:dyDescent="0.2">
      <c r="B179" s="833" t="s">
        <v>224</v>
      </c>
      <c r="C179" s="833"/>
      <c r="D179" s="833"/>
      <c r="E179" s="833"/>
      <c r="F179" s="523"/>
      <c r="G179" s="523"/>
      <c r="H179" s="523"/>
      <c r="I179" s="523"/>
      <c r="J179" s="523"/>
      <c r="K179" s="523"/>
      <c r="L179" s="523"/>
      <c r="M179" s="523"/>
      <c r="N179" s="523"/>
    </row>
    <row r="180" spans="2:14" s="497" customFormat="1" ht="19.5" hidden="1" customHeight="1" x14ac:dyDescent="0.2">
      <c r="B180" s="833" t="s">
        <v>162</v>
      </c>
      <c r="C180" s="833"/>
      <c r="D180" s="833"/>
      <c r="E180" s="833"/>
      <c r="F180" s="523"/>
      <c r="G180" s="523"/>
      <c r="H180" s="523"/>
      <c r="I180" s="523"/>
      <c r="J180" s="523"/>
      <c r="K180" s="523"/>
      <c r="L180" s="523"/>
      <c r="M180" s="523"/>
      <c r="N180" s="523"/>
    </row>
    <row r="181" spans="2:14" s="497" customFormat="1" ht="15" hidden="1" customHeight="1" x14ac:dyDescent="0.2">
      <c r="B181" s="835" t="s">
        <v>163</v>
      </c>
      <c r="C181" s="835"/>
      <c r="D181" s="835"/>
      <c r="E181" s="835"/>
      <c r="F181" s="523"/>
      <c r="G181" s="523"/>
      <c r="H181" s="523"/>
      <c r="I181" s="523"/>
      <c r="J181" s="523"/>
      <c r="K181" s="523"/>
      <c r="L181" s="523"/>
      <c r="M181" s="523"/>
      <c r="N181" s="523"/>
    </row>
    <row r="182" spans="2:14" s="497" customFormat="1" ht="15" hidden="1" customHeight="1" x14ac:dyDescent="0.2">
      <c r="B182" s="523"/>
      <c r="C182" s="523"/>
      <c r="D182" s="523"/>
      <c r="E182" s="523"/>
      <c r="F182" s="523"/>
      <c r="G182" s="523"/>
      <c r="H182" s="523"/>
      <c r="I182" s="523"/>
      <c r="J182" s="523"/>
      <c r="K182" s="523"/>
      <c r="L182" s="523"/>
      <c r="M182" s="523"/>
      <c r="N182" s="523"/>
    </row>
    <row r="183" spans="2:14" s="497" customFormat="1" ht="19.5" hidden="1" customHeight="1" x14ac:dyDescent="0.2">
      <c r="B183" s="354" t="s">
        <v>225</v>
      </c>
      <c r="C183" s="355" t="e">
        <f>$H$74</f>
        <v>#DIV/0!</v>
      </c>
      <c r="D183" s="356"/>
      <c r="E183" s="356"/>
      <c r="F183" s="523"/>
      <c r="G183" s="523"/>
      <c r="H183" s="523"/>
      <c r="I183" s="523"/>
      <c r="J183" s="523"/>
      <c r="K183" s="523"/>
      <c r="L183" s="523"/>
      <c r="M183" s="523"/>
      <c r="N183" s="523"/>
    </row>
    <row r="184" spans="2:14" s="139" customFormat="1" ht="19.5" hidden="1" customHeight="1" x14ac:dyDescent="0.2">
      <c r="B184" s="354" t="s">
        <v>164</v>
      </c>
      <c r="C184" s="160" t="e">
        <f>ROUND((C183-(C186/100)*98)/(1-(C186/100)),2)</f>
        <v>#DIV/0!</v>
      </c>
      <c r="D184" s="356"/>
      <c r="E184" s="356"/>
      <c r="F184" s="507"/>
      <c r="G184" s="507"/>
      <c r="H184" s="507"/>
      <c r="I184" s="507"/>
      <c r="J184" s="507"/>
      <c r="K184" s="507"/>
      <c r="L184" s="507"/>
      <c r="M184" s="507"/>
      <c r="N184" s="507"/>
    </row>
    <row r="185" spans="2:14" s="139" customFormat="1" ht="19.5" hidden="1" customHeight="1" x14ac:dyDescent="0.2">
      <c r="B185" s="354" t="s">
        <v>165</v>
      </c>
      <c r="C185" s="357" t="e">
        <f>SUM(H25:K26)/SUM(H17:K26)</f>
        <v>#DIV/0!</v>
      </c>
      <c r="D185" s="358">
        <v>0.3</v>
      </c>
      <c r="E185" s="359"/>
      <c r="F185" s="507"/>
      <c r="G185" s="507"/>
      <c r="H185" s="507"/>
      <c r="I185" s="507"/>
      <c r="J185" s="507"/>
      <c r="K185" s="507"/>
      <c r="L185" s="507"/>
      <c r="M185" s="507"/>
      <c r="N185" s="507"/>
    </row>
    <row r="186" spans="2:14" s="139" customFormat="1" ht="34.5" hidden="1" customHeight="1" x14ac:dyDescent="0.2">
      <c r="B186" s="360" t="s">
        <v>317</v>
      </c>
      <c r="C186" s="357" t="e">
        <f>IF(C185&gt;D185,D185,C185)</f>
        <v>#DIV/0!</v>
      </c>
      <c r="D186" s="359"/>
      <c r="E186" s="359"/>
      <c r="F186" s="507"/>
      <c r="G186" s="507"/>
      <c r="H186" s="507"/>
      <c r="I186" s="507"/>
      <c r="J186" s="507"/>
      <c r="K186" s="507"/>
      <c r="L186" s="507"/>
      <c r="M186" s="507"/>
      <c r="N186" s="507"/>
    </row>
    <row r="187" spans="2:14" s="139" customFormat="1" ht="15" hidden="1" customHeight="1" x14ac:dyDescent="0.2">
      <c r="B187" s="354" t="s">
        <v>166</v>
      </c>
      <c r="C187" s="361" t="str">
        <f>IF(D76&gt;0,(D76/(SUM($H$25:$K$26))),"-")</f>
        <v>-</v>
      </c>
      <c r="D187" s="362"/>
      <c r="E187" s="362"/>
      <c r="F187" s="362"/>
      <c r="G187" s="362"/>
      <c r="H187" s="362"/>
      <c r="I187" s="362"/>
      <c r="J187" s="362"/>
      <c r="K187" s="506"/>
      <c r="L187" s="507"/>
      <c r="M187" s="507"/>
      <c r="N187" s="507"/>
    </row>
    <row r="188" spans="2:14" s="139" customFormat="1" ht="19.5" hidden="1" customHeight="1" x14ac:dyDescent="0.2">
      <c r="B188" s="354" t="s">
        <v>229</v>
      </c>
      <c r="C188" s="160" t="e">
        <f>ROUND(C184+((C186/100)*(98-C184)*(1-(0.5*C187))),2)</f>
        <v>#DIV/0!</v>
      </c>
      <c r="D188" s="507"/>
      <c r="E188" s="507"/>
      <c r="F188" s="507"/>
      <c r="G188" s="507"/>
      <c r="H188" s="507"/>
      <c r="I188" s="507"/>
      <c r="J188" s="507"/>
      <c r="K188" s="507"/>
      <c r="L188" s="507"/>
      <c r="M188" s="507"/>
      <c r="N188" s="507"/>
    </row>
    <row r="189" spans="2:14" s="497" customFormat="1" ht="15" hidden="1" customHeight="1" x14ac:dyDescent="0.2">
      <c r="B189" s="523"/>
      <c r="C189" s="523"/>
      <c r="D189" s="523"/>
      <c r="E189" s="523"/>
      <c r="F189" s="523"/>
      <c r="G189" s="523"/>
      <c r="H189" s="523"/>
      <c r="I189" s="523"/>
      <c r="J189" s="523"/>
      <c r="K189" s="523"/>
      <c r="L189" s="523"/>
      <c r="M189" s="523"/>
      <c r="N189" s="523"/>
    </row>
    <row r="190" spans="2:14" s="497" customFormat="1" ht="15" hidden="1" customHeight="1" x14ac:dyDescent="0.2">
      <c r="B190" s="523"/>
      <c r="C190" s="523"/>
      <c r="D190" s="523"/>
      <c r="E190" s="523"/>
      <c r="F190" s="523"/>
      <c r="G190" s="523"/>
      <c r="H190" s="523"/>
      <c r="I190" s="523"/>
      <c r="J190" s="523"/>
      <c r="K190" s="523"/>
      <c r="L190" s="523"/>
      <c r="M190" s="523"/>
      <c r="N190" s="523"/>
    </row>
    <row r="191" spans="2:14" s="497" customFormat="1" ht="30" hidden="1" customHeight="1" x14ac:dyDescent="0.2">
      <c r="B191" s="413" t="s">
        <v>402</v>
      </c>
      <c r="C191" s="361">
        <f>SUM($H$26:$K$26)</f>
        <v>0</v>
      </c>
      <c r="D191" s="523"/>
      <c r="E191" s="362"/>
      <c r="F191" s="362"/>
      <c r="G191" s="362"/>
      <c r="H191" s="362"/>
      <c r="I191" s="362"/>
      <c r="J191" s="362"/>
      <c r="K191" s="362"/>
      <c r="L191" s="523"/>
      <c r="M191" s="523"/>
      <c r="N191" s="523"/>
    </row>
    <row r="192" spans="2:14" s="497" customFormat="1" ht="15" hidden="1" customHeight="1" x14ac:dyDescent="0.2">
      <c r="B192" s="523"/>
      <c r="C192" s="523"/>
      <c r="D192" s="523"/>
      <c r="E192" s="523"/>
      <c r="F192" s="523"/>
      <c r="G192" s="523"/>
      <c r="H192" s="523"/>
      <c r="I192" s="523"/>
      <c r="J192" s="523"/>
      <c r="K192" s="523"/>
      <c r="L192" s="523"/>
      <c r="M192" s="523"/>
      <c r="N192" s="523"/>
    </row>
    <row r="193" spans="2:14" s="497" customFormat="1" ht="15" hidden="1" customHeight="1" x14ac:dyDescent="0.2">
      <c r="B193" s="523"/>
      <c r="C193" s="523"/>
      <c r="D193" s="523"/>
      <c r="E193" s="523"/>
      <c r="F193" s="523"/>
      <c r="G193" s="523"/>
      <c r="H193" s="523"/>
      <c r="I193" s="523"/>
      <c r="J193" s="523"/>
      <c r="K193" s="523"/>
      <c r="L193" s="523"/>
      <c r="M193" s="523"/>
      <c r="N193" s="523"/>
    </row>
    <row r="194" spans="2:14" s="497" customFormat="1" ht="15" hidden="1" customHeight="1" x14ac:dyDescent="0.2">
      <c r="B194" s="523"/>
      <c r="C194" s="523"/>
      <c r="D194" s="523"/>
      <c r="E194" s="523"/>
      <c r="F194" s="523"/>
      <c r="G194" s="523"/>
      <c r="H194" s="523"/>
      <c r="I194" s="523"/>
      <c r="J194" s="523"/>
      <c r="K194" s="523"/>
      <c r="L194" s="523"/>
      <c r="M194" s="523"/>
      <c r="N194" s="523"/>
    </row>
    <row r="195" spans="2:14" s="497" customFormat="1" ht="15.75" thickTop="1" x14ac:dyDescent="0.2">
      <c r="B195" s="737" t="s">
        <v>435</v>
      </c>
      <c r="C195" s="737"/>
      <c r="D195" s="737"/>
      <c r="E195" s="737"/>
      <c r="F195" s="737"/>
      <c r="G195" s="737"/>
      <c r="H195" s="737"/>
      <c r="I195" s="737"/>
      <c r="J195" s="737"/>
      <c r="K195" s="737"/>
      <c r="L195" s="507"/>
      <c r="M195" s="523"/>
      <c r="N195" s="523"/>
    </row>
    <row r="196" spans="2:14" x14ac:dyDescent="0.2">
      <c r="B196" s="737"/>
      <c r="C196" s="737"/>
      <c r="D196" s="737"/>
      <c r="E196" s="737"/>
      <c r="F196" s="737"/>
      <c r="G196" s="737"/>
      <c r="H196" s="737"/>
      <c r="I196" s="737"/>
      <c r="J196" s="737"/>
      <c r="K196" s="737"/>
      <c r="L196" s="507"/>
    </row>
    <row r="197" spans="2:14" ht="15.75" x14ac:dyDescent="0.2">
      <c r="B197" s="738" t="s">
        <v>436</v>
      </c>
      <c r="C197" s="738"/>
      <c r="D197" s="738"/>
      <c r="E197" s="738"/>
      <c r="F197" s="738"/>
      <c r="G197" s="738"/>
      <c r="H197" s="738"/>
      <c r="I197" s="738"/>
      <c r="J197" s="738"/>
      <c r="K197" s="738"/>
      <c r="L197" s="507"/>
    </row>
    <row r="198" spans="2:14" x14ac:dyDescent="0.2">
      <c r="B198" s="737" t="s">
        <v>437</v>
      </c>
      <c r="C198" s="737"/>
      <c r="D198" s="737"/>
      <c r="E198" s="737"/>
      <c r="F198" s="737"/>
      <c r="G198" s="737"/>
      <c r="H198" s="737"/>
      <c r="I198" s="737"/>
      <c r="J198" s="737"/>
      <c r="K198" s="737"/>
      <c r="L198" s="507"/>
    </row>
    <row r="199" spans="2:14" x14ac:dyDescent="0.2">
      <c r="B199" s="737"/>
      <c r="C199" s="737"/>
      <c r="D199" s="737"/>
      <c r="E199" s="737"/>
      <c r="F199" s="737"/>
      <c r="G199" s="737"/>
      <c r="H199" s="737"/>
      <c r="I199" s="737"/>
      <c r="J199" s="737"/>
      <c r="K199" s="737"/>
    </row>
    <row r="200" spans="2:14" x14ac:dyDescent="0.2">
      <c r="B200" s="507"/>
      <c r="C200" s="507"/>
      <c r="D200" s="507"/>
      <c r="E200" s="160"/>
      <c r="F200" s="160"/>
      <c r="G200" s="160"/>
      <c r="H200" s="507"/>
      <c r="I200" s="507"/>
      <c r="J200" s="507"/>
      <c r="K200" s="507"/>
    </row>
    <row r="201" spans="2:14" x14ac:dyDescent="0.2">
      <c r="B201" s="507"/>
      <c r="C201" s="507"/>
      <c r="D201" s="507"/>
      <c r="E201" s="160"/>
      <c r="F201" s="160"/>
      <c r="G201" s="160"/>
      <c r="H201" s="507"/>
      <c r="I201" s="507"/>
      <c r="J201" s="507"/>
      <c r="K201" s="507"/>
    </row>
    <row r="202" spans="2:14" x14ac:dyDescent="0.2">
      <c r="B202" s="507"/>
      <c r="C202" s="507"/>
      <c r="D202" s="507"/>
      <c r="E202" s="160"/>
      <c r="F202" s="160"/>
      <c r="G202" s="160"/>
      <c r="H202" s="507"/>
      <c r="I202" s="507"/>
      <c r="J202" s="507"/>
      <c r="K202" s="507"/>
    </row>
    <row r="203" spans="2:14" x14ac:dyDescent="0.2">
      <c r="B203" s="507"/>
      <c r="C203" s="507"/>
      <c r="D203" s="507"/>
      <c r="E203" s="160"/>
      <c r="F203" s="160"/>
      <c r="G203" s="160"/>
      <c r="H203" s="507"/>
      <c r="I203" s="507"/>
      <c r="J203" s="507"/>
      <c r="K203" s="507"/>
    </row>
    <row r="204" spans="2:14" x14ac:dyDescent="0.2">
      <c r="B204" s="507"/>
      <c r="C204" s="507"/>
      <c r="D204" s="507"/>
      <c r="E204" s="160"/>
      <c r="F204" s="160"/>
      <c r="G204" s="160"/>
      <c r="H204" s="507"/>
      <c r="I204" s="507"/>
      <c r="J204" s="507"/>
      <c r="K204" s="507"/>
    </row>
    <row r="205" spans="2:14" x14ac:dyDescent="0.2">
      <c r="B205" s="507"/>
      <c r="C205" s="507"/>
      <c r="D205" s="507"/>
      <c r="E205" s="160"/>
      <c r="F205" s="160"/>
      <c r="G205" s="160"/>
      <c r="H205" s="507"/>
      <c r="I205" s="507"/>
      <c r="J205" s="507"/>
      <c r="K205" s="507"/>
    </row>
    <row r="206" spans="2:14" x14ac:dyDescent="0.2">
      <c r="B206" s="507"/>
      <c r="C206" s="507"/>
      <c r="D206" s="507"/>
      <c r="E206" s="160"/>
      <c r="F206" s="160"/>
      <c r="G206" s="160"/>
      <c r="H206" s="507"/>
      <c r="I206" s="507"/>
      <c r="J206" s="507"/>
      <c r="K206" s="507"/>
    </row>
    <row r="207" spans="2:14" x14ac:dyDescent="0.2">
      <c r="B207" s="507"/>
      <c r="C207" s="507"/>
      <c r="D207" s="507"/>
      <c r="E207" s="160"/>
      <c r="F207" s="160"/>
      <c r="G207" s="160"/>
      <c r="H207" s="507"/>
      <c r="I207" s="507"/>
      <c r="J207" s="507"/>
      <c r="K207" s="507"/>
    </row>
    <row r="208" spans="2:14" x14ac:dyDescent="0.2">
      <c r="B208" s="507"/>
      <c r="C208" s="507"/>
      <c r="D208" s="507"/>
      <c r="E208" s="160"/>
      <c r="F208" s="160"/>
      <c r="G208" s="160"/>
      <c r="H208" s="507"/>
      <c r="I208" s="507"/>
      <c r="J208" s="507"/>
      <c r="K208" s="507"/>
    </row>
    <row r="209" spans="2:12" x14ac:dyDescent="0.2">
      <c r="B209" s="507"/>
      <c r="C209" s="507"/>
      <c r="D209" s="507"/>
      <c r="E209" s="160"/>
      <c r="F209" s="160"/>
      <c r="G209" s="160"/>
      <c r="H209" s="507"/>
      <c r="I209" s="507"/>
      <c r="J209" s="507"/>
      <c r="K209" s="507"/>
    </row>
    <row r="210" spans="2:12" s="507" customFormat="1" x14ac:dyDescent="0.2">
      <c r="E210" s="160"/>
      <c r="F210" s="160"/>
      <c r="G210" s="160"/>
      <c r="L210" s="160"/>
    </row>
    <row r="211" spans="2:12" s="507" customFormat="1" x14ac:dyDescent="0.2">
      <c r="E211" s="160"/>
      <c r="F211" s="160"/>
      <c r="G211" s="160"/>
      <c r="L211" s="160"/>
    </row>
    <row r="212" spans="2:12" s="507" customFormat="1" x14ac:dyDescent="0.2">
      <c r="E212" s="160"/>
      <c r="F212" s="160"/>
      <c r="G212" s="160"/>
      <c r="L212" s="160"/>
    </row>
    <row r="213" spans="2:12" s="507" customFormat="1" x14ac:dyDescent="0.2">
      <c r="E213" s="160"/>
      <c r="F213" s="160"/>
      <c r="G213" s="160"/>
      <c r="L213" s="160"/>
    </row>
    <row r="214" spans="2:12" s="507" customFormat="1" x14ac:dyDescent="0.2">
      <c r="E214" s="160"/>
      <c r="F214" s="160"/>
      <c r="G214" s="160"/>
      <c r="L214" s="160"/>
    </row>
    <row r="215" spans="2:12" s="507" customFormat="1" x14ac:dyDescent="0.2">
      <c r="E215" s="160"/>
      <c r="F215" s="160"/>
      <c r="G215" s="160"/>
      <c r="L215" s="160"/>
    </row>
    <row r="216" spans="2:12" s="507" customFormat="1" x14ac:dyDescent="0.2">
      <c r="E216" s="160"/>
      <c r="F216" s="160"/>
      <c r="G216" s="160"/>
      <c r="L216" s="160"/>
    </row>
    <row r="217" spans="2:12" s="507" customFormat="1" x14ac:dyDescent="0.2">
      <c r="E217" s="160"/>
      <c r="F217" s="160"/>
      <c r="G217" s="160"/>
      <c r="L217" s="160"/>
    </row>
    <row r="218" spans="2:12" s="507" customFormat="1" x14ac:dyDescent="0.2">
      <c r="E218" s="160"/>
      <c r="F218" s="160"/>
      <c r="G218" s="160"/>
      <c r="L218" s="160"/>
    </row>
    <row r="219" spans="2:12" s="507" customFormat="1" x14ac:dyDescent="0.2">
      <c r="E219" s="160"/>
      <c r="F219" s="160"/>
      <c r="G219" s="160"/>
      <c r="L219" s="160"/>
    </row>
    <row r="220" spans="2:12" s="507" customFormat="1" x14ac:dyDescent="0.2">
      <c r="E220" s="160"/>
      <c r="F220" s="160"/>
      <c r="G220" s="160"/>
      <c r="L220" s="160"/>
    </row>
    <row r="221" spans="2:12" s="507" customFormat="1" x14ac:dyDescent="0.2">
      <c r="E221" s="160"/>
      <c r="F221" s="160"/>
      <c r="G221" s="160"/>
      <c r="L221" s="160"/>
    </row>
    <row r="222" spans="2:12" s="507" customFormat="1" x14ac:dyDescent="0.2">
      <c r="E222" s="160"/>
      <c r="F222" s="160"/>
      <c r="G222" s="160"/>
      <c r="L222" s="160"/>
    </row>
    <row r="223" spans="2:12" s="507" customFormat="1" x14ac:dyDescent="0.2">
      <c r="E223" s="160"/>
      <c r="F223" s="160"/>
      <c r="G223" s="160"/>
      <c r="L223" s="160"/>
    </row>
    <row r="224" spans="2:12" s="507" customFormat="1" x14ac:dyDescent="0.2">
      <c r="E224" s="160"/>
      <c r="F224" s="160"/>
      <c r="G224" s="160"/>
      <c r="L224" s="160"/>
    </row>
    <row r="225" spans="5:12" s="507" customFormat="1" x14ac:dyDescent="0.2">
      <c r="E225" s="160"/>
      <c r="F225" s="160"/>
      <c r="G225" s="160"/>
      <c r="L225" s="160"/>
    </row>
    <row r="226" spans="5:12" s="507" customFormat="1" x14ac:dyDescent="0.2">
      <c r="E226" s="160"/>
      <c r="F226" s="160"/>
      <c r="G226" s="160"/>
      <c r="L226" s="160"/>
    </row>
    <row r="227" spans="5:12" s="507" customFormat="1" x14ac:dyDescent="0.2">
      <c r="E227" s="160"/>
      <c r="F227" s="160"/>
      <c r="G227" s="160"/>
      <c r="L227" s="160"/>
    </row>
    <row r="228" spans="5:12" s="507" customFormat="1" x14ac:dyDescent="0.2">
      <c r="E228" s="160"/>
      <c r="F228" s="160"/>
      <c r="G228" s="160"/>
      <c r="L228" s="160"/>
    </row>
    <row r="229" spans="5:12" s="507" customFormat="1" x14ac:dyDescent="0.2">
      <c r="E229" s="160"/>
      <c r="F229" s="160"/>
      <c r="G229" s="160"/>
      <c r="L229" s="160"/>
    </row>
    <row r="230" spans="5:12" s="507" customFormat="1" x14ac:dyDescent="0.2">
      <c r="E230" s="160"/>
      <c r="F230" s="160"/>
      <c r="G230" s="160"/>
      <c r="L230" s="160"/>
    </row>
    <row r="231" spans="5:12" s="507" customFormat="1" x14ac:dyDescent="0.2">
      <c r="E231" s="160"/>
      <c r="F231" s="160"/>
      <c r="G231" s="160"/>
      <c r="L231" s="160"/>
    </row>
    <row r="232" spans="5:12" s="507" customFormat="1" x14ac:dyDescent="0.2">
      <c r="E232" s="160"/>
      <c r="F232" s="160"/>
      <c r="G232" s="160"/>
      <c r="L232" s="160"/>
    </row>
    <row r="233" spans="5:12" s="507" customFormat="1" x14ac:dyDescent="0.2">
      <c r="E233" s="160"/>
      <c r="F233" s="160"/>
      <c r="G233" s="160"/>
      <c r="L233" s="160"/>
    </row>
    <row r="234" spans="5:12" s="507" customFormat="1" x14ac:dyDescent="0.2">
      <c r="E234" s="160"/>
      <c r="F234" s="160"/>
      <c r="G234" s="160"/>
      <c r="L234" s="160"/>
    </row>
    <row r="235" spans="5:12" s="507" customFormat="1" x14ac:dyDescent="0.2">
      <c r="E235" s="160"/>
      <c r="F235" s="160"/>
      <c r="G235" s="160"/>
      <c r="L235" s="160"/>
    </row>
    <row r="236" spans="5:12" s="507" customFormat="1" x14ac:dyDescent="0.2">
      <c r="E236" s="160"/>
      <c r="F236" s="160"/>
      <c r="G236" s="160"/>
      <c r="L236" s="160"/>
    </row>
    <row r="237" spans="5:12" s="507" customFormat="1" x14ac:dyDescent="0.2">
      <c r="E237" s="160"/>
      <c r="F237" s="160"/>
      <c r="G237" s="160"/>
      <c r="L237" s="160"/>
    </row>
    <row r="238" spans="5:12" s="507" customFormat="1" x14ac:dyDescent="0.2">
      <c r="E238" s="160"/>
      <c r="F238" s="160"/>
      <c r="G238" s="160"/>
      <c r="L238" s="160"/>
    </row>
    <row r="239" spans="5:12" s="507" customFormat="1" x14ac:dyDescent="0.2">
      <c r="E239" s="160"/>
      <c r="F239" s="160"/>
      <c r="G239" s="160"/>
      <c r="L239" s="160"/>
    </row>
    <row r="240" spans="5:12" s="507" customFormat="1" x14ac:dyDescent="0.2">
      <c r="E240" s="160"/>
      <c r="F240" s="160"/>
      <c r="G240" s="160"/>
      <c r="L240" s="160"/>
    </row>
    <row r="241" spans="5:12" s="507" customFormat="1" x14ac:dyDescent="0.2">
      <c r="E241" s="160"/>
      <c r="F241" s="160"/>
      <c r="G241" s="160"/>
      <c r="L241" s="160"/>
    </row>
    <row r="242" spans="5:12" s="507" customFormat="1" x14ac:dyDescent="0.2">
      <c r="E242" s="160"/>
      <c r="F242" s="160"/>
      <c r="G242" s="160"/>
      <c r="L242" s="160"/>
    </row>
    <row r="243" spans="5:12" s="507" customFormat="1" x14ac:dyDescent="0.2">
      <c r="E243" s="160"/>
      <c r="F243" s="160"/>
      <c r="G243" s="160"/>
      <c r="L243" s="160"/>
    </row>
    <row r="244" spans="5:12" s="507" customFormat="1" x14ac:dyDescent="0.2">
      <c r="E244" s="160"/>
      <c r="F244" s="160"/>
      <c r="G244" s="160"/>
      <c r="L244" s="160"/>
    </row>
  </sheetData>
  <sheetProtection password="E421" sheet="1" objects="1" scenarios="1"/>
  <mergeCells count="251">
    <mergeCell ref="B9:C9"/>
    <mergeCell ref="D9:G9"/>
    <mergeCell ref="H9:K9"/>
    <mergeCell ref="B10:C10"/>
    <mergeCell ref="D10:G10"/>
    <mergeCell ref="H10:K10"/>
    <mergeCell ref="B1:D1"/>
    <mergeCell ref="E1:K1"/>
    <mergeCell ref="B3:K3"/>
    <mergeCell ref="B4:K4"/>
    <mergeCell ref="B8:C8"/>
    <mergeCell ref="D8:G8"/>
    <mergeCell ref="H8:K8"/>
    <mergeCell ref="B14:C14"/>
    <mergeCell ref="D14:G14"/>
    <mergeCell ref="H14:K14"/>
    <mergeCell ref="B15:C15"/>
    <mergeCell ref="D15:G15"/>
    <mergeCell ref="H15:K15"/>
    <mergeCell ref="B11:C11"/>
    <mergeCell ref="D11:K11"/>
    <mergeCell ref="B12:C12"/>
    <mergeCell ref="D12:K12"/>
    <mergeCell ref="B13:C13"/>
    <mergeCell ref="D13:K13"/>
    <mergeCell ref="B25:C25"/>
    <mergeCell ref="B26:C26"/>
    <mergeCell ref="D27:G27"/>
    <mergeCell ref="H27:K27"/>
    <mergeCell ref="B28:C28"/>
    <mergeCell ref="D28:G28"/>
    <mergeCell ref="H28:K28"/>
    <mergeCell ref="B16:C16"/>
    <mergeCell ref="L16:L24"/>
    <mergeCell ref="B17:C17"/>
    <mergeCell ref="B18:C18"/>
    <mergeCell ref="B19:C19"/>
    <mergeCell ref="B20:C20"/>
    <mergeCell ref="B21:C21"/>
    <mergeCell ref="B22:C22"/>
    <mergeCell ref="B23:C23"/>
    <mergeCell ref="B24:C24"/>
    <mergeCell ref="H31:K31"/>
    <mergeCell ref="B32:C32"/>
    <mergeCell ref="D32:G32"/>
    <mergeCell ref="H32:K32"/>
    <mergeCell ref="B33:C33"/>
    <mergeCell ref="D33:G33"/>
    <mergeCell ref="H33:K33"/>
    <mergeCell ref="L28:L29"/>
    <mergeCell ref="B29:C29"/>
    <mergeCell ref="D29:G29"/>
    <mergeCell ref="H29:K29"/>
    <mergeCell ref="B30:C30"/>
    <mergeCell ref="D30:G30"/>
    <mergeCell ref="H30:K30"/>
    <mergeCell ref="L30:L33"/>
    <mergeCell ref="B31:C31"/>
    <mergeCell ref="D31:G31"/>
    <mergeCell ref="B37:C37"/>
    <mergeCell ref="D37:G37"/>
    <mergeCell ref="H37:K37"/>
    <mergeCell ref="B38:C38"/>
    <mergeCell ref="D38:G38"/>
    <mergeCell ref="H38:K38"/>
    <mergeCell ref="B34:C34"/>
    <mergeCell ref="B35:C35"/>
    <mergeCell ref="D35:G35"/>
    <mergeCell ref="H35:K35"/>
    <mergeCell ref="B36:C36"/>
    <mergeCell ref="D36:G36"/>
    <mergeCell ref="H36:K36"/>
    <mergeCell ref="B41:C41"/>
    <mergeCell ref="D41:G41"/>
    <mergeCell ref="H41:K41"/>
    <mergeCell ref="B42:C42"/>
    <mergeCell ref="D42:G42"/>
    <mergeCell ref="H42:K42"/>
    <mergeCell ref="L38:L39"/>
    <mergeCell ref="B39:C39"/>
    <mergeCell ref="D39:G39"/>
    <mergeCell ref="H39:K39"/>
    <mergeCell ref="B40:C40"/>
    <mergeCell ref="D40:G40"/>
    <mergeCell ref="H40:K40"/>
    <mergeCell ref="B45:C45"/>
    <mergeCell ref="D45:G45"/>
    <mergeCell ref="H45:K45"/>
    <mergeCell ref="B46:C46"/>
    <mergeCell ref="D46:G46"/>
    <mergeCell ref="H46:K46"/>
    <mergeCell ref="B43:C43"/>
    <mergeCell ref="D43:G43"/>
    <mergeCell ref="H43:K43"/>
    <mergeCell ref="B44:C44"/>
    <mergeCell ref="D44:G44"/>
    <mergeCell ref="H44:K44"/>
    <mergeCell ref="B50:C50"/>
    <mergeCell ref="D50:G50"/>
    <mergeCell ref="H50:K50"/>
    <mergeCell ref="B51:C51"/>
    <mergeCell ref="D51:G51"/>
    <mergeCell ref="H51:K51"/>
    <mergeCell ref="L46:L49"/>
    <mergeCell ref="B47:C47"/>
    <mergeCell ref="D47:G47"/>
    <mergeCell ref="H47:K47"/>
    <mergeCell ref="B48:C48"/>
    <mergeCell ref="D48:G48"/>
    <mergeCell ref="H48:K48"/>
    <mergeCell ref="B49:C49"/>
    <mergeCell ref="D49:G49"/>
    <mergeCell ref="H49:K49"/>
    <mergeCell ref="B54:C54"/>
    <mergeCell ref="D54:G54"/>
    <mergeCell ref="H54:K54"/>
    <mergeCell ref="B55:C55"/>
    <mergeCell ref="D55:G55"/>
    <mergeCell ref="H55:K55"/>
    <mergeCell ref="B52:C52"/>
    <mergeCell ref="D52:G52"/>
    <mergeCell ref="H52:K52"/>
    <mergeCell ref="B53:C53"/>
    <mergeCell ref="D53:G53"/>
    <mergeCell ref="H53:K53"/>
    <mergeCell ref="B56:C56"/>
    <mergeCell ref="D56:G56"/>
    <mergeCell ref="H56:K56"/>
    <mergeCell ref="L56:L59"/>
    <mergeCell ref="B57:C57"/>
    <mergeCell ref="D57:G57"/>
    <mergeCell ref="H57:K57"/>
    <mergeCell ref="B58:C58"/>
    <mergeCell ref="D58:G58"/>
    <mergeCell ref="H58:K58"/>
    <mergeCell ref="B61:C61"/>
    <mergeCell ref="D61:G61"/>
    <mergeCell ref="H61:K61"/>
    <mergeCell ref="B62:C62"/>
    <mergeCell ref="D62:G62"/>
    <mergeCell ref="H62:K62"/>
    <mergeCell ref="B59:C59"/>
    <mergeCell ref="D59:G59"/>
    <mergeCell ref="H59:K59"/>
    <mergeCell ref="B60:C60"/>
    <mergeCell ref="D60:G60"/>
    <mergeCell ref="H60:K60"/>
    <mergeCell ref="B65:C65"/>
    <mergeCell ref="D65:G65"/>
    <mergeCell ref="H65:K65"/>
    <mergeCell ref="B66:C66"/>
    <mergeCell ref="D66:G66"/>
    <mergeCell ref="H66:K66"/>
    <mergeCell ref="B63:C63"/>
    <mergeCell ref="D63:G63"/>
    <mergeCell ref="H63:K63"/>
    <mergeCell ref="B64:C64"/>
    <mergeCell ref="D64:G64"/>
    <mergeCell ref="H64:K64"/>
    <mergeCell ref="L66:L69"/>
    <mergeCell ref="B67:C67"/>
    <mergeCell ref="D67:G67"/>
    <mergeCell ref="H67:K67"/>
    <mergeCell ref="B68:C68"/>
    <mergeCell ref="D68:G68"/>
    <mergeCell ref="H68:K68"/>
    <mergeCell ref="B69:C69"/>
    <mergeCell ref="D69:G69"/>
    <mergeCell ref="H69:K69"/>
    <mergeCell ref="B73:C73"/>
    <mergeCell ref="D73:G73"/>
    <mergeCell ref="H73:K73"/>
    <mergeCell ref="B74:C74"/>
    <mergeCell ref="D74:G74"/>
    <mergeCell ref="H74:K74"/>
    <mergeCell ref="B70:C70"/>
    <mergeCell ref="D70:G70"/>
    <mergeCell ref="H70:K70"/>
    <mergeCell ref="D71:G71"/>
    <mergeCell ref="H71:K71"/>
    <mergeCell ref="B72:C72"/>
    <mergeCell ref="D72:G72"/>
    <mergeCell ref="H72:K72"/>
    <mergeCell ref="B79:C79"/>
    <mergeCell ref="D79:K79"/>
    <mergeCell ref="B80:C80"/>
    <mergeCell ref="D80:K80"/>
    <mergeCell ref="B81:C81"/>
    <mergeCell ref="B82:C82"/>
    <mergeCell ref="D82:G82"/>
    <mergeCell ref="H82:K82"/>
    <mergeCell ref="B75:C75"/>
    <mergeCell ref="B76:C76"/>
    <mergeCell ref="D76:K76"/>
    <mergeCell ref="B77:C77"/>
    <mergeCell ref="D77:K77"/>
    <mergeCell ref="B78:C78"/>
    <mergeCell ref="B86:C86"/>
    <mergeCell ref="B87:C87"/>
    <mergeCell ref="D87:G87"/>
    <mergeCell ref="H87:K87"/>
    <mergeCell ref="B88:C88"/>
    <mergeCell ref="D88:G88"/>
    <mergeCell ref="H88:K88"/>
    <mergeCell ref="B83:C83"/>
    <mergeCell ref="D83:G83"/>
    <mergeCell ref="H83:K83"/>
    <mergeCell ref="B84:C84"/>
    <mergeCell ref="D84:K84"/>
    <mergeCell ref="B85:C85"/>
    <mergeCell ref="D85:G85"/>
    <mergeCell ref="H85:K85"/>
    <mergeCell ref="B92:C92"/>
    <mergeCell ref="D92:G92"/>
    <mergeCell ref="H92:K92"/>
    <mergeCell ref="B93:C93"/>
    <mergeCell ref="D93:G93"/>
    <mergeCell ref="H93:K93"/>
    <mergeCell ref="B89:C89"/>
    <mergeCell ref="D89:G89"/>
    <mergeCell ref="H89:K89"/>
    <mergeCell ref="B90:C90"/>
    <mergeCell ref="B91:C91"/>
    <mergeCell ref="D91:G91"/>
    <mergeCell ref="H91:K91"/>
    <mergeCell ref="B115:C115"/>
    <mergeCell ref="B116:C116"/>
    <mergeCell ref="E122:N122"/>
    <mergeCell ref="E130:N130"/>
    <mergeCell ref="J139:M140"/>
    <mergeCell ref="B140:G141"/>
    <mergeCell ref="D94:K94"/>
    <mergeCell ref="B96:L96"/>
    <mergeCell ref="B98:I98"/>
    <mergeCell ref="E109:F109"/>
    <mergeCell ref="B112:C113"/>
    <mergeCell ref="E112:N112"/>
    <mergeCell ref="E113:N113"/>
    <mergeCell ref="B198:K199"/>
    <mergeCell ref="B178:E178"/>
    <mergeCell ref="B179:E179"/>
    <mergeCell ref="B180:E180"/>
    <mergeCell ref="B181:E181"/>
    <mergeCell ref="B195:K196"/>
    <mergeCell ref="B197:K197"/>
    <mergeCell ref="B147:G149"/>
    <mergeCell ref="I149:N151"/>
    <mergeCell ref="B163:F163"/>
    <mergeCell ref="B173:E174"/>
    <mergeCell ref="B176:E176"/>
    <mergeCell ref="B177:E177"/>
  </mergeCells>
  <conditionalFormatting sqref="H88 H81 D81 D76 D83:K84 E1:K1 D46:K49 D56:K59 D66:K69 H91:K92 D32:K33 D79:K79">
    <cfRule type="cellIs" dxfId="434" priority="19" operator="lessThan">
      <formula>0.00001</formula>
    </cfRule>
  </conditionalFormatting>
  <conditionalFormatting sqref="I94:I97 F123:K129 F99:F108 D142:G146 B93 G99:I111 J94:K111 F110:F111 F114:K121 D150:F162 H131:H195 G150:G195 F131:G139 D99:E139 D81:D92 D93:H97 E81:H83 I131:K137 B94:C94 D39:K39 D72:H78 L77 D33:K33 I73:K78 I81:K82 E92:L92 E85:K91 I93:K93 D164:F195 I160:K195">
    <cfRule type="containsErrors" dxfId="433" priority="12">
      <formula>ISERROR(B33)</formula>
    </cfRule>
  </conditionalFormatting>
  <conditionalFormatting sqref="H81 D81 D83:K84 D11:K13 D79:K79">
    <cfRule type="cellIs" dxfId="432" priority="17" operator="lessThan">
      <formula>0.0001</formula>
    </cfRule>
  </conditionalFormatting>
  <conditionalFormatting sqref="H88 H81 D81 D83:K84 D67:K69 D57:K59 H91:K92 D47:K49 D79:K79">
    <cfRule type="cellIs" priority="16" operator="lessThan">
      <formula>0.00001</formula>
    </cfRule>
  </conditionalFormatting>
  <conditionalFormatting sqref="H88 D11:K13 H91:K92">
    <cfRule type="cellIs" dxfId="431" priority="15" operator="lessThan">
      <formula>0.000001</formula>
    </cfRule>
  </conditionalFormatting>
  <conditionalFormatting sqref="D38:K39">
    <cfRule type="cellIs" dxfId="430" priority="14" operator="lessThan">
      <formula>0.00001</formula>
    </cfRule>
  </conditionalFormatting>
  <conditionalFormatting sqref="L92 L77">
    <cfRule type="cellIs" dxfId="429" priority="13" operator="greaterThan">
      <formula>$G$35</formula>
    </cfRule>
  </conditionalFormatting>
  <conditionalFormatting sqref="H85:K85">
    <cfRule type="cellIs" dxfId="428" priority="18" operator="greaterThan">
      <formula>$D$85</formula>
    </cfRule>
  </conditionalFormatting>
  <conditionalFormatting sqref="D80:K80">
    <cfRule type="cellIs" dxfId="427" priority="9" operator="lessThan">
      <formula>0.00001</formula>
    </cfRule>
  </conditionalFormatting>
  <conditionalFormatting sqref="D80:K80">
    <cfRule type="cellIs" dxfId="426" priority="8" operator="lessThan">
      <formula>0.0001</formula>
    </cfRule>
  </conditionalFormatting>
  <conditionalFormatting sqref="D80:K80">
    <cfRule type="cellIs" priority="7" operator="lessThan">
      <formula>0.00001</formula>
    </cfRule>
  </conditionalFormatting>
  <conditionalFormatting sqref="D80:K80">
    <cfRule type="cellIs" dxfId="425" priority="6" operator="lessThan">
      <formula>0.00001</formula>
    </cfRule>
  </conditionalFormatting>
  <conditionalFormatting sqref="D80:K80">
    <cfRule type="cellIs" dxfId="424" priority="5" operator="lessThan">
      <formula>0.0001</formula>
    </cfRule>
  </conditionalFormatting>
  <conditionalFormatting sqref="D80:K80">
    <cfRule type="cellIs" priority="4" operator="lessThan">
      <formula>0.00001</formula>
    </cfRule>
  </conditionalFormatting>
  <conditionalFormatting sqref="D80:K80">
    <cfRule type="cellIs" dxfId="423" priority="3" operator="lessThan">
      <formula>0.00001</formula>
    </cfRule>
  </conditionalFormatting>
  <conditionalFormatting sqref="D80:K80">
    <cfRule type="cellIs" dxfId="422" priority="2" operator="lessThan">
      <formula>0.0001</formula>
    </cfRule>
  </conditionalFormatting>
  <conditionalFormatting sqref="D80:K80">
    <cfRule type="cellIs" priority="1" operator="lessThan">
      <formula>0.00001</formula>
    </cfRule>
  </conditionalFormatting>
  <dataValidations count="3">
    <dataValidation type="list" allowBlank="1" showInputMessage="1" showErrorMessage="1" sqref="D31 H31" xr:uid="{00000000-0002-0000-0700-000000000000}">
      <formula1>$B$143:$B$145</formula1>
    </dataValidation>
    <dataValidation type="list" allowBlank="1" showInputMessage="1" showErrorMessage="1" sqref="D37:K37" xr:uid="{00000000-0002-0000-0700-000001000000}">
      <formula1>$B$159:$B$160</formula1>
    </dataValidation>
    <dataValidation type="list" allowBlank="1" showInputMessage="1" showErrorMessage="1" sqref="D45:K45 D55:K55 D65:K65" xr:uid="{00000000-0002-0000-0700-000002000000}">
      <formula1>$B$151:$B$156</formula1>
    </dataValidation>
  </dataValidations>
  <hyperlinks>
    <hyperlink ref="L12" location="PPT" display="From Site Data" xr:uid="{00000000-0004-0000-0700-000000000000}"/>
    <hyperlink ref="L38" location="VELOCITY" display="See Shallow Flow Calculations" xr:uid="{00000000-0004-0000-0700-000001000000}"/>
    <hyperlink ref="L46" location="mannings_channel" display="See Channel Flow" xr:uid="{00000000-0004-0000-0700-000002000000}"/>
    <hyperlink ref="L38:L39" location="SHALLOW" display="See Shallow Flow Calculations" xr:uid="{00000000-0004-0000-0700-000003000000}"/>
    <hyperlink ref="L46:L49" location="CHANNEL" display="See Open Channel Flow" xr:uid="{00000000-0004-0000-0700-000004000000}"/>
    <hyperlink ref="L56" location="mannings_channel" display="See Channel Flow" xr:uid="{00000000-0004-0000-0700-000005000000}"/>
    <hyperlink ref="L56:L59" location="CHANNEL" display="See Open Channel Flow" xr:uid="{00000000-0004-0000-0700-000006000000}"/>
    <hyperlink ref="L66" location="mannings_channel" display="See Channel Flow" xr:uid="{00000000-0004-0000-0700-000007000000}"/>
    <hyperlink ref="L66:L69" location="CHANNEL" display="See Open Channel Flow" xr:uid="{00000000-0004-0000-0700-000008000000}"/>
    <hyperlink ref="L30:L33" location="SHEET" display="See Sheet Flow Calculations" xr:uid="{00000000-0004-0000-0700-000009000000}"/>
    <hyperlink ref="L74" location="WCN" display="See Weighted Curve Number" xr:uid="{00000000-0004-0000-0700-00000A000000}"/>
    <hyperlink ref="L70" location="Tc" display="See Tc" xr:uid="{00000000-0004-0000-0700-00000B000000}"/>
    <hyperlink ref="L16:L24" location="WCN" display="See Weighted Curve Number" xr:uid="{00000000-0004-0000-0700-00000C000000}"/>
    <hyperlink ref="L82" location="SCS" display="See SCS Runoff Method" xr:uid="{00000000-0004-0000-0700-00000D000000}"/>
    <hyperlink ref="L79" location="hd" display="See Discrete Runoff Method" xr:uid="{00000000-0004-0000-0700-00000E000000}"/>
    <hyperlink ref="L87" location="SCS" display="See SCS Runoff Method" xr:uid="{00000000-0004-0000-0700-00000F000000}"/>
    <hyperlink ref="L91" location="SCS" display="See SCS Runoff Method" xr:uid="{00000000-0004-0000-0700-000010000000}"/>
    <hyperlink ref="L85" location="PEAK" display="See Peak Flow Calculations" xr:uid="{00000000-0004-0000-0700-000011000000}"/>
    <hyperlink ref="L89" location="PEAK" display="See Peak Flow Calculations" xr:uid="{00000000-0004-0000-0700-000012000000}"/>
    <hyperlink ref="L76" location="Disconnected" display="See Disconnected Impervious Calculation" xr:uid="{00000000-0004-0000-0700-000013000000}"/>
    <hyperlink ref="B195:K196" location="'DA2'!A1" display="CLICK TO ADD ANOTHER DRAINAGE AREA" xr:uid="{00000000-0004-0000-0700-000014000000}"/>
    <hyperlink ref="B198:K199" location="'SITE SUMMARY'!A1" display="CONTINUE TO SITE SUMMARY" xr:uid="{00000000-0004-0000-0700-000015000000}"/>
    <hyperlink ref="L80" location="hd" display="See Discrete Runoff Method" xr:uid="{00000000-0004-0000-0700-000016000000}"/>
  </hyperlinks>
  <printOptions horizontalCentered="1"/>
  <pageMargins left="0.7" right="0.7" top="0.75" bottom="0.75" header="0.3" footer="0.3"/>
  <pageSetup scale="54" fitToHeight="2" orientation="portrait" copies="5" r:id="rId1"/>
  <headerFooter>
    <oddFooter>&amp;A&amp;RPage &amp;P</oddFooter>
  </headerFooter>
  <rowBreaks count="1" manualBreakCount="1">
    <brk id="49" min="1" max="10"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AA244"/>
  <sheetViews>
    <sheetView showRowColHeaders="0" zoomScale="85" zoomScaleNormal="85" workbookViewId="0">
      <selection activeCell="H81" sqref="H81"/>
    </sheetView>
  </sheetViews>
  <sheetFormatPr defaultRowHeight="15" x14ac:dyDescent="0.2"/>
  <cols>
    <col min="1" max="1" width="3.77734375" style="507" customWidth="1"/>
    <col min="2" max="2" width="25.6640625" style="161" customWidth="1"/>
    <col min="3" max="3" width="17.33203125" style="161" customWidth="1"/>
    <col min="4" max="4" width="8.6640625" style="161" customWidth="1"/>
    <col min="5" max="7" width="8.6640625" style="223" customWidth="1"/>
    <col min="8" max="11" width="8.6640625" style="161" customWidth="1"/>
    <col min="12" max="12" width="37.109375" style="160" bestFit="1" customWidth="1"/>
    <col min="13" max="27" width="8.88671875" style="507"/>
    <col min="28" max="16384" width="8.88671875" style="161"/>
  </cols>
  <sheetData>
    <row r="1" spans="2:12" ht="16.5" thickBot="1" x14ac:dyDescent="0.3">
      <c r="B1" s="787" t="s">
        <v>31</v>
      </c>
      <c r="C1" s="787"/>
      <c r="D1" s="787"/>
      <c r="E1" s="788">
        <f>'SITE DATA'!F9</f>
        <v>0</v>
      </c>
      <c r="F1" s="789"/>
      <c r="G1" s="789"/>
      <c r="H1" s="789"/>
      <c r="I1" s="789"/>
      <c r="J1" s="789"/>
      <c r="K1" s="790"/>
    </row>
    <row r="2" spans="2:12" x14ac:dyDescent="0.2">
      <c r="B2" s="507"/>
      <c r="C2" s="507"/>
      <c r="D2" s="507"/>
      <c r="E2" s="160"/>
      <c r="F2" s="160"/>
      <c r="G2" s="160"/>
      <c r="H2" s="507"/>
      <c r="I2" s="507"/>
      <c r="J2" s="507"/>
      <c r="K2" s="507"/>
    </row>
    <row r="3" spans="2:12" ht="18" x14ac:dyDescent="0.25">
      <c r="B3" s="797" t="s">
        <v>397</v>
      </c>
      <c r="C3" s="797"/>
      <c r="D3" s="797"/>
      <c r="E3" s="797"/>
      <c r="F3" s="797"/>
      <c r="G3" s="797"/>
      <c r="H3" s="797"/>
      <c r="I3" s="797"/>
      <c r="J3" s="797"/>
      <c r="K3" s="797"/>
      <c r="L3" s="162"/>
    </row>
    <row r="4" spans="2:12" ht="18" x14ac:dyDescent="0.25">
      <c r="B4" s="797" t="s">
        <v>8</v>
      </c>
      <c r="C4" s="797"/>
      <c r="D4" s="797"/>
      <c r="E4" s="797"/>
      <c r="F4" s="797"/>
      <c r="G4" s="797"/>
      <c r="H4" s="797"/>
      <c r="I4" s="797"/>
      <c r="J4" s="797"/>
      <c r="K4" s="797"/>
      <c r="L4" s="162"/>
    </row>
    <row r="5" spans="2:12" x14ac:dyDescent="0.2">
      <c r="B5" s="507"/>
      <c r="C5" s="507"/>
      <c r="D5" s="507"/>
      <c r="E5" s="160"/>
      <c r="F5" s="160"/>
      <c r="G5" s="160"/>
      <c r="H5" s="507"/>
      <c r="I5" s="507"/>
      <c r="J5" s="507"/>
      <c r="K5" s="507"/>
    </row>
    <row r="6" spans="2:12" x14ac:dyDescent="0.2">
      <c r="B6" s="507"/>
      <c r="C6" s="507"/>
      <c r="D6" s="507"/>
      <c r="E6" s="160"/>
      <c r="F6" s="160"/>
      <c r="G6" s="160"/>
      <c r="H6" s="507"/>
      <c r="I6" s="507"/>
      <c r="J6" s="507"/>
      <c r="K6" s="507"/>
    </row>
    <row r="7" spans="2:12" ht="15.75" thickBot="1" x14ac:dyDescent="0.25">
      <c r="B7" s="507"/>
      <c r="C7" s="507"/>
      <c r="D7" s="507"/>
      <c r="E7" s="160"/>
      <c r="F7" s="160"/>
      <c r="G7" s="160"/>
      <c r="H7" s="507"/>
      <c r="I7" s="507"/>
      <c r="J7" s="507"/>
      <c r="K7" s="507"/>
    </row>
    <row r="8" spans="2:12" ht="24.95" customHeight="1" thickTop="1" thickBot="1" x14ac:dyDescent="0.3">
      <c r="B8" s="801" t="s">
        <v>263</v>
      </c>
      <c r="C8" s="802"/>
      <c r="D8" s="798" t="s">
        <v>9</v>
      </c>
      <c r="E8" s="798"/>
      <c r="F8" s="798"/>
      <c r="G8" s="798"/>
      <c r="H8" s="798" t="s">
        <v>30</v>
      </c>
      <c r="I8" s="798"/>
      <c r="J8" s="798"/>
      <c r="K8" s="798"/>
      <c r="L8" s="238" t="s">
        <v>319</v>
      </c>
    </row>
    <row r="9" spans="2:12" ht="24.95" customHeight="1" thickTop="1" x14ac:dyDescent="0.2">
      <c r="B9" s="754" t="s">
        <v>92</v>
      </c>
      <c r="C9" s="791"/>
      <c r="D9" s="799"/>
      <c r="E9" s="725"/>
      <c r="F9" s="725"/>
      <c r="G9" s="800"/>
      <c r="H9" s="774"/>
      <c r="I9" s="775"/>
      <c r="J9" s="775"/>
      <c r="K9" s="776"/>
      <c r="L9" s="163" t="s">
        <v>486</v>
      </c>
    </row>
    <row r="10" spans="2:12" ht="24.95" customHeight="1" x14ac:dyDescent="0.2">
      <c r="B10" s="754" t="s">
        <v>93</v>
      </c>
      <c r="C10" s="791"/>
      <c r="D10" s="799"/>
      <c r="E10" s="725"/>
      <c r="F10" s="725"/>
      <c r="G10" s="800"/>
      <c r="H10" s="799"/>
      <c r="I10" s="725"/>
      <c r="J10" s="725"/>
      <c r="K10" s="800"/>
      <c r="L10" s="163"/>
    </row>
    <row r="11" spans="2:12" ht="24.95" customHeight="1" x14ac:dyDescent="0.2">
      <c r="B11" s="754" t="s">
        <v>226</v>
      </c>
      <c r="C11" s="791"/>
      <c r="D11" s="803">
        <f>'SITE DATA'!$F$26</f>
        <v>0</v>
      </c>
      <c r="E11" s="683"/>
      <c r="F11" s="683"/>
      <c r="G11" s="683"/>
      <c r="H11" s="683"/>
      <c r="I11" s="683"/>
      <c r="J11" s="683"/>
      <c r="K11" s="804"/>
      <c r="L11" s="566"/>
    </row>
    <row r="12" spans="2:12" ht="24.95" customHeight="1" x14ac:dyDescent="0.2">
      <c r="B12" s="754" t="s">
        <v>329</v>
      </c>
      <c r="C12" s="791"/>
      <c r="D12" s="803">
        <f>'SITE DATA'!$F$27</f>
        <v>0</v>
      </c>
      <c r="E12" s="683"/>
      <c r="F12" s="683"/>
      <c r="G12" s="683"/>
      <c r="H12" s="683"/>
      <c r="I12" s="683"/>
      <c r="J12" s="683"/>
      <c r="K12" s="804"/>
      <c r="L12" s="566" t="s">
        <v>266</v>
      </c>
    </row>
    <row r="13" spans="2:12" ht="24.95" customHeight="1" x14ac:dyDescent="0.2">
      <c r="B13" s="754" t="s">
        <v>375</v>
      </c>
      <c r="C13" s="791"/>
      <c r="D13" s="803">
        <f>'SITE DATA'!$F$28</f>
        <v>0</v>
      </c>
      <c r="E13" s="683"/>
      <c r="F13" s="683"/>
      <c r="G13" s="683"/>
      <c r="H13" s="683"/>
      <c r="I13" s="683"/>
      <c r="J13" s="683"/>
      <c r="K13" s="804"/>
      <c r="L13" s="566"/>
    </row>
    <row r="14" spans="2:12" ht="24.95" customHeight="1" x14ac:dyDescent="0.2">
      <c r="B14" s="754" t="s">
        <v>307</v>
      </c>
      <c r="C14" s="791"/>
      <c r="D14" s="792"/>
      <c r="E14" s="793"/>
      <c r="F14" s="793"/>
      <c r="G14" s="793"/>
      <c r="H14" s="793"/>
      <c r="I14" s="793"/>
      <c r="J14" s="793"/>
      <c r="K14" s="793"/>
      <c r="L14" s="163"/>
    </row>
    <row r="15" spans="2:12" ht="24.95" customHeight="1" x14ac:dyDescent="0.2">
      <c r="B15" s="754" t="s">
        <v>306</v>
      </c>
      <c r="C15" s="791"/>
      <c r="D15" s="793"/>
      <c r="E15" s="793"/>
      <c r="F15" s="793"/>
      <c r="G15" s="793"/>
      <c r="H15" s="793"/>
      <c r="I15" s="793"/>
      <c r="J15" s="793"/>
      <c r="K15" s="793"/>
      <c r="L15" s="163"/>
    </row>
    <row r="16" spans="2:12" ht="24.95" customHeight="1" x14ac:dyDescent="0.2">
      <c r="B16" s="784" t="s">
        <v>487</v>
      </c>
      <c r="C16" s="785"/>
      <c r="D16" s="429" t="s">
        <v>15</v>
      </c>
      <c r="E16" s="430" t="s">
        <v>16</v>
      </c>
      <c r="F16" s="430" t="s">
        <v>18</v>
      </c>
      <c r="G16" s="431" t="s">
        <v>17</v>
      </c>
      <c r="H16" s="432" t="s">
        <v>15</v>
      </c>
      <c r="I16" s="430" t="s">
        <v>16</v>
      </c>
      <c r="J16" s="430" t="s">
        <v>18</v>
      </c>
      <c r="K16" s="431" t="s">
        <v>17</v>
      </c>
      <c r="L16" s="766" t="s">
        <v>177</v>
      </c>
    </row>
    <row r="17" spans="2:12" ht="24.95" customHeight="1" x14ac:dyDescent="0.2">
      <c r="B17" s="754" t="s">
        <v>12</v>
      </c>
      <c r="C17" s="791"/>
      <c r="D17" s="428"/>
      <c r="E17" s="416"/>
      <c r="F17" s="416"/>
      <c r="G17" s="427"/>
      <c r="H17" s="428"/>
      <c r="I17" s="416"/>
      <c r="J17" s="416"/>
      <c r="K17" s="427"/>
      <c r="L17" s="766"/>
    </row>
    <row r="18" spans="2:12" ht="24.95" customHeight="1" x14ac:dyDescent="0.2">
      <c r="B18" s="754" t="s">
        <v>253</v>
      </c>
      <c r="C18" s="791"/>
      <c r="D18" s="428"/>
      <c r="E18" s="416"/>
      <c r="F18" s="416"/>
      <c r="G18" s="427"/>
      <c r="H18" s="428"/>
      <c r="I18" s="416"/>
      <c r="J18" s="416"/>
      <c r="K18" s="427"/>
      <c r="L18" s="766"/>
    </row>
    <row r="19" spans="2:12" ht="24.95" customHeight="1" x14ac:dyDescent="0.2">
      <c r="B19" s="754" t="s">
        <v>260</v>
      </c>
      <c r="C19" s="791"/>
      <c r="D19" s="428"/>
      <c r="E19" s="416"/>
      <c r="F19" s="416"/>
      <c r="G19" s="427"/>
      <c r="H19" s="428"/>
      <c r="I19" s="416"/>
      <c r="J19" s="416"/>
      <c r="K19" s="427"/>
      <c r="L19" s="766"/>
    </row>
    <row r="20" spans="2:12" ht="24.95" customHeight="1" x14ac:dyDescent="0.2">
      <c r="B20" s="754" t="s">
        <v>259</v>
      </c>
      <c r="C20" s="791"/>
      <c r="D20" s="428"/>
      <c r="E20" s="416"/>
      <c r="F20" s="416"/>
      <c r="G20" s="427"/>
      <c r="H20" s="428"/>
      <c r="I20" s="416"/>
      <c r="J20" s="416"/>
      <c r="K20" s="427"/>
      <c r="L20" s="766"/>
    </row>
    <row r="21" spans="2:12" ht="24.95" customHeight="1" x14ac:dyDescent="0.2">
      <c r="B21" s="754" t="s">
        <v>255</v>
      </c>
      <c r="C21" s="791"/>
      <c r="D21" s="428"/>
      <c r="E21" s="416"/>
      <c r="F21" s="416"/>
      <c r="G21" s="427"/>
      <c r="H21" s="428"/>
      <c r="I21" s="416"/>
      <c r="J21" s="416"/>
      <c r="K21" s="427"/>
      <c r="L21" s="766"/>
    </row>
    <row r="22" spans="2:12" ht="24.95" customHeight="1" x14ac:dyDescent="0.2">
      <c r="B22" s="754" t="s">
        <v>262</v>
      </c>
      <c r="C22" s="791"/>
      <c r="D22" s="428"/>
      <c r="E22" s="416"/>
      <c r="F22" s="416"/>
      <c r="G22" s="427"/>
      <c r="H22" s="428"/>
      <c r="I22" s="416"/>
      <c r="J22" s="416"/>
      <c r="K22" s="427"/>
      <c r="L22" s="766"/>
    </row>
    <row r="23" spans="2:12" ht="24.95" customHeight="1" x14ac:dyDescent="0.2">
      <c r="B23" s="754" t="s">
        <v>261</v>
      </c>
      <c r="C23" s="791"/>
      <c r="D23" s="428"/>
      <c r="E23" s="416"/>
      <c r="F23" s="416"/>
      <c r="G23" s="427"/>
      <c r="H23" s="428"/>
      <c r="I23" s="416"/>
      <c r="J23" s="416"/>
      <c r="K23" s="427"/>
      <c r="L23" s="766"/>
    </row>
    <row r="24" spans="2:12" ht="24.95" customHeight="1" x14ac:dyDescent="0.2">
      <c r="B24" s="754" t="s">
        <v>245</v>
      </c>
      <c r="C24" s="791"/>
      <c r="D24" s="428"/>
      <c r="E24" s="416"/>
      <c r="F24" s="416"/>
      <c r="G24" s="427"/>
      <c r="H24" s="428"/>
      <c r="I24" s="416"/>
      <c r="J24" s="416"/>
      <c r="K24" s="427"/>
      <c r="L24" s="766"/>
    </row>
    <row r="25" spans="2:12" ht="24.95" customHeight="1" x14ac:dyDescent="0.25">
      <c r="B25" s="754" t="s">
        <v>369</v>
      </c>
      <c r="C25" s="791"/>
      <c r="D25" s="428"/>
      <c r="E25" s="416"/>
      <c r="F25" s="416"/>
      <c r="G25" s="427"/>
      <c r="H25" s="428"/>
      <c r="I25" s="416"/>
      <c r="J25" s="416"/>
      <c r="K25" s="427"/>
      <c r="L25" s="417"/>
    </row>
    <row r="26" spans="2:12" ht="24.95" customHeight="1" thickBot="1" x14ac:dyDescent="0.3">
      <c r="B26" s="830" t="s">
        <v>368</v>
      </c>
      <c r="C26" s="831"/>
      <c r="D26" s="433"/>
      <c r="E26" s="434"/>
      <c r="F26" s="434"/>
      <c r="G26" s="435"/>
      <c r="H26" s="433"/>
      <c r="I26" s="434"/>
      <c r="J26" s="434"/>
      <c r="K26" s="435"/>
      <c r="L26" s="417" t="str">
        <f>IF(OR(SUM($H$17:$K$26)&gt;$H$10,SUM($H$17:$K$26)&lt;$H$10),"LAND USE MUST MATCH SITE ACREAGE","")</f>
        <v/>
      </c>
    </row>
    <row r="27" spans="2:12" ht="24.95" customHeight="1" thickTop="1" thickBot="1" x14ac:dyDescent="0.25">
      <c r="B27" s="443" t="s">
        <v>264</v>
      </c>
      <c r="C27" s="444"/>
      <c r="D27" s="805" t="s">
        <v>56</v>
      </c>
      <c r="E27" s="805"/>
      <c r="F27" s="805"/>
      <c r="G27" s="805"/>
      <c r="H27" s="805" t="s">
        <v>57</v>
      </c>
      <c r="I27" s="805"/>
      <c r="J27" s="805"/>
      <c r="K27" s="805"/>
      <c r="L27" s="418"/>
    </row>
    <row r="28" spans="2:12" ht="24.95" customHeight="1" thickTop="1" x14ac:dyDescent="0.2">
      <c r="B28" s="795" t="s">
        <v>404</v>
      </c>
      <c r="C28" s="796"/>
      <c r="D28" s="794"/>
      <c r="E28" s="794"/>
      <c r="F28" s="794"/>
      <c r="G28" s="794"/>
      <c r="H28" s="794"/>
      <c r="I28" s="794"/>
      <c r="J28" s="794"/>
      <c r="K28" s="794"/>
      <c r="L28" s="736"/>
    </row>
    <row r="29" spans="2:12" ht="24.95" customHeight="1" x14ac:dyDescent="0.2">
      <c r="B29" s="770" t="s">
        <v>87</v>
      </c>
      <c r="C29" s="771"/>
      <c r="D29" s="774"/>
      <c r="E29" s="775"/>
      <c r="F29" s="775"/>
      <c r="G29" s="776"/>
      <c r="H29" s="774"/>
      <c r="I29" s="775"/>
      <c r="J29" s="775"/>
      <c r="K29" s="776"/>
      <c r="L29" s="736"/>
    </row>
    <row r="30" spans="2:12" ht="24.95" customHeight="1" x14ac:dyDescent="0.2">
      <c r="B30" s="770" t="s">
        <v>88</v>
      </c>
      <c r="C30" s="771"/>
      <c r="D30" s="777"/>
      <c r="E30" s="778"/>
      <c r="F30" s="778"/>
      <c r="G30" s="779"/>
      <c r="H30" s="777"/>
      <c r="I30" s="778"/>
      <c r="J30" s="778"/>
      <c r="K30" s="779"/>
      <c r="L30" s="766" t="s">
        <v>95</v>
      </c>
    </row>
    <row r="31" spans="2:12" ht="24.95" customHeight="1" x14ac:dyDescent="0.2">
      <c r="B31" s="770" t="s">
        <v>60</v>
      </c>
      <c r="C31" s="771"/>
      <c r="D31" s="774"/>
      <c r="E31" s="775"/>
      <c r="F31" s="775"/>
      <c r="G31" s="776"/>
      <c r="H31" s="774"/>
      <c r="I31" s="775"/>
      <c r="J31" s="775"/>
      <c r="K31" s="776"/>
      <c r="L31" s="766"/>
    </row>
    <row r="32" spans="2:12" ht="24.95" customHeight="1" x14ac:dyDescent="0.2">
      <c r="B32" s="781" t="s">
        <v>86</v>
      </c>
      <c r="C32" s="782"/>
      <c r="D32" s="769" t="str">
        <f>IF(D31=$B$143,$G$143,IF(D31=$B$144,$G$144,IF(D31=$B$145,$G$145,"")))</f>
        <v/>
      </c>
      <c r="E32" s="769"/>
      <c r="F32" s="769"/>
      <c r="G32" s="769"/>
      <c r="H32" s="769" t="str">
        <f>IF(H31=$B$143,$G$143,IF(H31=$B$144,$G$144,IF(H31=$B$145,$G$145,"")))</f>
        <v/>
      </c>
      <c r="I32" s="769"/>
      <c r="J32" s="769"/>
      <c r="K32" s="769"/>
      <c r="L32" s="766"/>
    </row>
    <row r="33" spans="2:12" ht="24.95" customHeight="1" x14ac:dyDescent="0.2">
      <c r="B33" s="770" t="s">
        <v>89</v>
      </c>
      <c r="C33" s="780"/>
      <c r="D33" s="769">
        <f>IF(D29&gt;0,(0.007*(D32*D29)^0.8)/(($D$11^0.5)*(D30^0.4)),0)</f>
        <v>0</v>
      </c>
      <c r="E33" s="769"/>
      <c r="F33" s="769"/>
      <c r="G33" s="769"/>
      <c r="H33" s="769">
        <f>IF(H29&gt;0,(0.007*(H32*H29)^0.8)/(($D$11^0.5)*(H30^0.4)),0)</f>
        <v>0</v>
      </c>
      <c r="I33" s="769"/>
      <c r="J33" s="769"/>
      <c r="K33" s="769"/>
      <c r="L33" s="766"/>
    </row>
    <row r="34" spans="2:12" ht="24.95" customHeight="1" x14ac:dyDescent="0.2">
      <c r="B34" s="795" t="s">
        <v>405</v>
      </c>
      <c r="C34" s="796"/>
      <c r="D34" s="570"/>
      <c r="E34" s="570"/>
      <c r="F34" s="570"/>
      <c r="G34" s="570"/>
      <c r="H34" s="570"/>
      <c r="I34" s="570"/>
      <c r="J34" s="570"/>
      <c r="K34" s="571"/>
      <c r="L34" s="419"/>
    </row>
    <row r="35" spans="2:12" ht="24.95" customHeight="1" x14ac:dyDescent="0.2">
      <c r="B35" s="770" t="s">
        <v>87</v>
      </c>
      <c r="C35" s="771"/>
      <c r="D35" s="774"/>
      <c r="E35" s="775"/>
      <c r="F35" s="775"/>
      <c r="G35" s="776"/>
      <c r="H35" s="774"/>
      <c r="I35" s="775"/>
      <c r="J35" s="775"/>
      <c r="K35" s="776"/>
      <c r="L35" s="163"/>
    </row>
    <row r="36" spans="2:12" ht="24.95" customHeight="1" x14ac:dyDescent="0.2">
      <c r="B36" s="770" t="s">
        <v>88</v>
      </c>
      <c r="C36" s="771"/>
      <c r="D36" s="777"/>
      <c r="E36" s="778"/>
      <c r="F36" s="778"/>
      <c r="G36" s="779"/>
      <c r="H36" s="777"/>
      <c r="I36" s="778"/>
      <c r="J36" s="778"/>
      <c r="K36" s="779"/>
      <c r="L36" s="163"/>
    </row>
    <row r="37" spans="2:12" ht="24.95" customHeight="1" x14ac:dyDescent="0.2">
      <c r="B37" s="770" t="s">
        <v>60</v>
      </c>
      <c r="C37" s="771"/>
      <c r="D37" s="774"/>
      <c r="E37" s="775"/>
      <c r="F37" s="775"/>
      <c r="G37" s="776"/>
      <c r="H37" s="774"/>
      <c r="I37" s="775"/>
      <c r="J37" s="775"/>
      <c r="K37" s="776"/>
      <c r="L37" s="163"/>
    </row>
    <row r="38" spans="2:12" ht="24.95" customHeight="1" x14ac:dyDescent="0.2">
      <c r="B38" s="781" t="s">
        <v>96</v>
      </c>
      <c r="C38" s="782"/>
      <c r="D38" s="783">
        <f>IF(D37="Unpaved",16.1345*D36^0.5,IF(D37="Paved",20.32828*D36^0.5,0))</f>
        <v>0</v>
      </c>
      <c r="E38" s="783"/>
      <c r="F38" s="783"/>
      <c r="G38" s="783"/>
      <c r="H38" s="783">
        <f>IF(H37="Unpaved",16.1345*H36^0.5,IF(H37="Paved",20.32828*H36^0.5,0))</f>
        <v>0</v>
      </c>
      <c r="I38" s="783"/>
      <c r="J38" s="783"/>
      <c r="K38" s="783"/>
      <c r="L38" s="766" t="s">
        <v>131</v>
      </c>
    </row>
    <row r="39" spans="2:12" ht="24.95" customHeight="1" x14ac:dyDescent="0.2">
      <c r="B39" s="770" t="s">
        <v>89</v>
      </c>
      <c r="C39" s="780"/>
      <c r="D39" s="783">
        <f>IF(D38&gt;0,D35/(3600*D38),0)</f>
        <v>0</v>
      </c>
      <c r="E39" s="783"/>
      <c r="F39" s="783"/>
      <c r="G39" s="783"/>
      <c r="H39" s="783">
        <f>IF(H38&gt;0,H35/(3600*H38),0)</f>
        <v>0</v>
      </c>
      <c r="I39" s="783"/>
      <c r="J39" s="783"/>
      <c r="K39" s="783"/>
      <c r="L39" s="766"/>
    </row>
    <row r="40" spans="2:12" ht="24.95" customHeight="1" x14ac:dyDescent="0.2">
      <c r="B40" s="784" t="s">
        <v>406</v>
      </c>
      <c r="C40" s="785"/>
      <c r="D40" s="772"/>
      <c r="E40" s="772"/>
      <c r="F40" s="772"/>
      <c r="G40" s="772"/>
      <c r="H40" s="772"/>
      <c r="I40" s="772"/>
      <c r="J40" s="772"/>
      <c r="K40" s="773"/>
      <c r="L40" s="163"/>
    </row>
    <row r="41" spans="2:12" ht="24.95" customHeight="1" x14ac:dyDescent="0.2">
      <c r="B41" s="770" t="s">
        <v>87</v>
      </c>
      <c r="C41" s="771"/>
      <c r="D41" s="739"/>
      <c r="E41" s="739"/>
      <c r="F41" s="739"/>
      <c r="G41" s="739"/>
      <c r="H41" s="774"/>
      <c r="I41" s="775"/>
      <c r="J41" s="775"/>
      <c r="K41" s="776"/>
      <c r="L41" s="163"/>
    </row>
    <row r="42" spans="2:12" ht="24.95" customHeight="1" x14ac:dyDescent="0.2">
      <c r="B42" s="770" t="s">
        <v>88</v>
      </c>
      <c r="C42" s="771"/>
      <c r="D42" s="786"/>
      <c r="E42" s="786"/>
      <c r="F42" s="786"/>
      <c r="G42" s="786"/>
      <c r="H42" s="777"/>
      <c r="I42" s="778"/>
      <c r="J42" s="778"/>
      <c r="K42" s="779"/>
      <c r="L42" s="163"/>
    </row>
    <row r="43" spans="2:12" ht="24.95" customHeight="1" x14ac:dyDescent="0.2">
      <c r="B43" s="770" t="s">
        <v>108</v>
      </c>
      <c r="C43" s="771"/>
      <c r="D43" s="739"/>
      <c r="E43" s="739"/>
      <c r="F43" s="739"/>
      <c r="G43" s="739"/>
      <c r="H43" s="774"/>
      <c r="I43" s="775"/>
      <c r="J43" s="775"/>
      <c r="K43" s="776"/>
      <c r="L43" s="163"/>
    </row>
    <row r="44" spans="2:12" ht="24.95" customHeight="1" x14ac:dyDescent="0.2">
      <c r="B44" s="767" t="s">
        <v>90</v>
      </c>
      <c r="C44" s="768"/>
      <c r="D44" s="739"/>
      <c r="E44" s="739"/>
      <c r="F44" s="739"/>
      <c r="G44" s="739"/>
      <c r="H44" s="774"/>
      <c r="I44" s="775"/>
      <c r="J44" s="775"/>
      <c r="K44" s="776"/>
      <c r="L44" s="163"/>
    </row>
    <row r="45" spans="2:12" ht="24.95" customHeight="1" x14ac:dyDescent="0.2">
      <c r="B45" s="770" t="s">
        <v>116</v>
      </c>
      <c r="C45" s="771"/>
      <c r="D45" s="739"/>
      <c r="E45" s="739"/>
      <c r="F45" s="739"/>
      <c r="G45" s="739"/>
      <c r="H45" s="774"/>
      <c r="I45" s="775"/>
      <c r="J45" s="775"/>
      <c r="K45" s="776"/>
      <c r="L45" s="163"/>
    </row>
    <row r="46" spans="2:12" ht="24.95" customHeight="1" x14ac:dyDescent="0.2">
      <c r="B46" s="781" t="s">
        <v>86</v>
      </c>
      <c r="C46" s="782"/>
      <c r="D46" s="769" t="str">
        <f>IF(D45="Asphalt",$G$151,IF(D45="Concrete, finished",$G$152,IF(D45="Concrete, unfinished",$G$153,IF(D45="Grass",$G$154,IF(D45="Gravel Bottom/riprap sides",$G$155,IF(D45="Weeds",$G$156,""))))))</f>
        <v/>
      </c>
      <c r="E46" s="769"/>
      <c r="F46" s="769"/>
      <c r="G46" s="769"/>
      <c r="H46" s="769" t="str">
        <f>IF(H45="Asphalt",$G$151,IF(H45="Concrete, finished",$G$152,IF(H45="Concrete, unfinished",$G$153,IF(H45="Grass",$G$154,IF(H45="Gravel Bottom/riprap sides",$G$155,IF(H45="Weeds",$G$156,""))))))</f>
        <v/>
      </c>
      <c r="I46" s="769"/>
      <c r="J46" s="769"/>
      <c r="K46" s="769"/>
      <c r="L46" s="766" t="s">
        <v>174</v>
      </c>
    </row>
    <row r="47" spans="2:12" ht="24.95" customHeight="1" x14ac:dyDescent="0.2">
      <c r="B47" s="781" t="s">
        <v>109</v>
      </c>
      <c r="C47" s="782"/>
      <c r="D47" s="783">
        <f>IF(ISERROR(D43/D44),0,D43/D44)</f>
        <v>0</v>
      </c>
      <c r="E47" s="783"/>
      <c r="F47" s="783"/>
      <c r="G47" s="783"/>
      <c r="H47" s="783">
        <f>IF(ISERROR(H43/H44),0,H43/H44)</f>
        <v>0</v>
      </c>
      <c r="I47" s="783"/>
      <c r="J47" s="783"/>
      <c r="K47" s="783"/>
      <c r="L47" s="766"/>
    </row>
    <row r="48" spans="2:12" ht="24.95" customHeight="1" x14ac:dyDescent="0.2">
      <c r="B48" s="781" t="s">
        <v>96</v>
      </c>
      <c r="C48" s="782"/>
      <c r="D48" s="783">
        <f>IF(D44&gt;0,(1.49*(D47^(2/3))*(D42^0.5))/D46,0)</f>
        <v>0</v>
      </c>
      <c r="E48" s="783"/>
      <c r="F48" s="783"/>
      <c r="G48" s="783"/>
      <c r="H48" s="783">
        <f>IF(H44&gt;0,(1.49*(H47^(2/3))*(H42^0.5))/H46,0)</f>
        <v>0</v>
      </c>
      <c r="I48" s="783"/>
      <c r="J48" s="783"/>
      <c r="K48" s="783"/>
      <c r="L48" s="766"/>
    </row>
    <row r="49" spans="2:12" ht="24.95" customHeight="1" x14ac:dyDescent="0.2">
      <c r="B49" s="770" t="s">
        <v>89</v>
      </c>
      <c r="C49" s="780"/>
      <c r="D49" s="783">
        <f>IF(D44&gt;0,D41/(3600*D48),0)</f>
        <v>0</v>
      </c>
      <c r="E49" s="783"/>
      <c r="F49" s="783"/>
      <c r="G49" s="783"/>
      <c r="H49" s="783">
        <f>IF(H44&gt;0,H41/(3600*H48),0)</f>
        <v>0</v>
      </c>
      <c r="I49" s="783"/>
      <c r="J49" s="783"/>
      <c r="K49" s="783"/>
      <c r="L49" s="766"/>
    </row>
    <row r="50" spans="2:12" ht="24.95" customHeight="1" x14ac:dyDescent="0.2">
      <c r="B50" s="784" t="s">
        <v>407</v>
      </c>
      <c r="C50" s="785"/>
      <c r="D50" s="772"/>
      <c r="E50" s="772"/>
      <c r="F50" s="772"/>
      <c r="G50" s="772"/>
      <c r="H50" s="772"/>
      <c r="I50" s="772"/>
      <c r="J50" s="772"/>
      <c r="K50" s="773"/>
      <c r="L50" s="163"/>
    </row>
    <row r="51" spans="2:12" ht="24.95" customHeight="1" x14ac:dyDescent="0.2">
      <c r="B51" s="770" t="s">
        <v>87</v>
      </c>
      <c r="C51" s="771"/>
      <c r="D51" s="739"/>
      <c r="E51" s="739"/>
      <c r="F51" s="739"/>
      <c r="G51" s="739"/>
      <c r="H51" s="739"/>
      <c r="I51" s="739"/>
      <c r="J51" s="739"/>
      <c r="K51" s="739"/>
      <c r="L51" s="163"/>
    </row>
    <row r="52" spans="2:12" ht="24.95" customHeight="1" x14ac:dyDescent="0.2">
      <c r="B52" s="770" t="s">
        <v>88</v>
      </c>
      <c r="C52" s="771"/>
      <c r="D52" s="786"/>
      <c r="E52" s="786"/>
      <c r="F52" s="786"/>
      <c r="G52" s="786"/>
      <c r="H52" s="786"/>
      <c r="I52" s="786"/>
      <c r="J52" s="786"/>
      <c r="K52" s="786"/>
      <c r="L52" s="163"/>
    </row>
    <row r="53" spans="2:12" ht="24.95" customHeight="1" x14ac:dyDescent="0.2">
      <c r="B53" s="770" t="s">
        <v>108</v>
      </c>
      <c r="C53" s="771"/>
      <c r="D53" s="739"/>
      <c r="E53" s="739"/>
      <c r="F53" s="739"/>
      <c r="G53" s="739"/>
      <c r="H53" s="739"/>
      <c r="I53" s="739"/>
      <c r="J53" s="739"/>
      <c r="K53" s="739"/>
      <c r="L53" s="163"/>
    </row>
    <row r="54" spans="2:12" ht="24.95" customHeight="1" x14ac:dyDescent="0.2">
      <c r="B54" s="767" t="s">
        <v>90</v>
      </c>
      <c r="C54" s="768"/>
      <c r="D54" s="739"/>
      <c r="E54" s="739"/>
      <c r="F54" s="739"/>
      <c r="G54" s="739"/>
      <c r="H54" s="739"/>
      <c r="I54" s="739"/>
      <c r="J54" s="739"/>
      <c r="K54" s="739"/>
      <c r="L54" s="163"/>
    </row>
    <row r="55" spans="2:12" ht="24.95" customHeight="1" x14ac:dyDescent="0.2">
      <c r="B55" s="770" t="s">
        <v>116</v>
      </c>
      <c r="C55" s="771"/>
      <c r="D55" s="739"/>
      <c r="E55" s="739"/>
      <c r="F55" s="739"/>
      <c r="G55" s="739"/>
      <c r="H55" s="739"/>
      <c r="I55" s="739"/>
      <c r="J55" s="739"/>
      <c r="K55" s="739"/>
      <c r="L55" s="163"/>
    </row>
    <row r="56" spans="2:12" ht="24.95" customHeight="1" x14ac:dyDescent="0.2">
      <c r="B56" s="781" t="s">
        <v>86</v>
      </c>
      <c r="C56" s="782"/>
      <c r="D56" s="769" t="str">
        <f>IF(D55="Asphalt",$G$151,IF(D55="Concrete, finished",$G$152,IF(D55="Concrete, unfinished",$G$153,IF(D55="Grass",$G$154,IF(D55="Gravel Bottom/riprap sides",$G$155,IF(D55="Weeds",$G$156,""))))))</f>
        <v/>
      </c>
      <c r="E56" s="769"/>
      <c r="F56" s="769"/>
      <c r="G56" s="769"/>
      <c r="H56" s="769" t="str">
        <f>IF(H55="Asphalt",$G$151,IF(H55="Concrete, finished",$G$152,IF(H55="Concrete, unfinished",$G$153,IF(H55="Grass",$G$154,IF(H55="Gravel Bottom/riprap sides",$G$155,IF(H55="Weeds",$G$156,""))))))</f>
        <v/>
      </c>
      <c r="I56" s="769"/>
      <c r="J56" s="769"/>
      <c r="K56" s="769"/>
      <c r="L56" s="766" t="s">
        <v>174</v>
      </c>
    </row>
    <row r="57" spans="2:12" ht="24.95" customHeight="1" x14ac:dyDescent="0.2">
      <c r="B57" s="781" t="s">
        <v>109</v>
      </c>
      <c r="C57" s="782"/>
      <c r="D57" s="783">
        <f>IF(ISERROR(D53/D54),0,D53/D54)</f>
        <v>0</v>
      </c>
      <c r="E57" s="783"/>
      <c r="F57" s="783"/>
      <c r="G57" s="783"/>
      <c r="H57" s="783">
        <f>IF(ISERROR(H53/H54),0,H53/H54)</f>
        <v>0</v>
      </c>
      <c r="I57" s="783"/>
      <c r="J57" s="783"/>
      <c r="K57" s="783"/>
      <c r="L57" s="766"/>
    </row>
    <row r="58" spans="2:12" ht="24.95" customHeight="1" x14ac:dyDescent="0.2">
      <c r="B58" s="781" t="s">
        <v>96</v>
      </c>
      <c r="C58" s="782"/>
      <c r="D58" s="783">
        <f>IF(D54&gt;0,(1.49*(D57^(2/3))*(D52^0.5))/D56,0)</f>
        <v>0</v>
      </c>
      <c r="E58" s="783"/>
      <c r="F58" s="783"/>
      <c r="G58" s="783"/>
      <c r="H58" s="783">
        <f>IF(H54&gt;0,(1.49*(H57^(2/3))*(H52^0.5))/H56,0)</f>
        <v>0</v>
      </c>
      <c r="I58" s="783"/>
      <c r="J58" s="783"/>
      <c r="K58" s="783"/>
      <c r="L58" s="766"/>
    </row>
    <row r="59" spans="2:12" ht="24.95" customHeight="1" x14ac:dyDescent="0.2">
      <c r="B59" s="770" t="s">
        <v>89</v>
      </c>
      <c r="C59" s="780"/>
      <c r="D59" s="783">
        <f>IF(D54&gt;0,D51/(3600*D58),0)</f>
        <v>0</v>
      </c>
      <c r="E59" s="783"/>
      <c r="F59" s="783"/>
      <c r="G59" s="783"/>
      <c r="H59" s="783">
        <f>IF(H54&gt;0,H51/(3600*H58),0)</f>
        <v>0</v>
      </c>
      <c r="I59" s="783"/>
      <c r="J59" s="783"/>
      <c r="K59" s="783"/>
      <c r="L59" s="766"/>
    </row>
    <row r="60" spans="2:12" ht="24.95" customHeight="1" x14ac:dyDescent="0.2">
      <c r="B60" s="784" t="s">
        <v>408</v>
      </c>
      <c r="C60" s="785"/>
      <c r="D60" s="772"/>
      <c r="E60" s="772"/>
      <c r="F60" s="772"/>
      <c r="G60" s="772"/>
      <c r="H60" s="772"/>
      <c r="I60" s="772"/>
      <c r="J60" s="772"/>
      <c r="K60" s="773"/>
      <c r="L60" s="163"/>
    </row>
    <row r="61" spans="2:12" ht="24.95" customHeight="1" x14ac:dyDescent="0.2">
      <c r="B61" s="770" t="s">
        <v>87</v>
      </c>
      <c r="C61" s="771"/>
      <c r="D61" s="739"/>
      <c r="E61" s="739"/>
      <c r="F61" s="739"/>
      <c r="G61" s="739"/>
      <c r="H61" s="739"/>
      <c r="I61" s="739"/>
      <c r="J61" s="739"/>
      <c r="K61" s="739"/>
      <c r="L61" s="163"/>
    </row>
    <row r="62" spans="2:12" ht="24.95" customHeight="1" x14ac:dyDescent="0.2">
      <c r="B62" s="770" t="s">
        <v>88</v>
      </c>
      <c r="C62" s="771"/>
      <c r="D62" s="786"/>
      <c r="E62" s="786"/>
      <c r="F62" s="786"/>
      <c r="G62" s="786"/>
      <c r="H62" s="786"/>
      <c r="I62" s="786"/>
      <c r="J62" s="786"/>
      <c r="K62" s="786"/>
      <c r="L62" s="163"/>
    </row>
    <row r="63" spans="2:12" ht="24.95" customHeight="1" x14ac:dyDescent="0.2">
      <c r="B63" s="770" t="s">
        <v>108</v>
      </c>
      <c r="C63" s="771"/>
      <c r="D63" s="739"/>
      <c r="E63" s="739"/>
      <c r="F63" s="739"/>
      <c r="G63" s="739"/>
      <c r="H63" s="739"/>
      <c r="I63" s="739"/>
      <c r="J63" s="739"/>
      <c r="K63" s="739"/>
      <c r="L63" s="163"/>
    </row>
    <row r="64" spans="2:12" ht="24.95" customHeight="1" x14ac:dyDescent="0.2">
      <c r="B64" s="821" t="s">
        <v>90</v>
      </c>
      <c r="C64" s="822"/>
      <c r="D64" s="739"/>
      <c r="E64" s="739"/>
      <c r="F64" s="739"/>
      <c r="G64" s="739"/>
      <c r="H64" s="739"/>
      <c r="I64" s="739"/>
      <c r="J64" s="739"/>
      <c r="K64" s="739"/>
      <c r="L64" s="163"/>
    </row>
    <row r="65" spans="1:27" ht="24.95" customHeight="1" x14ac:dyDescent="0.2">
      <c r="B65" s="770" t="s">
        <v>116</v>
      </c>
      <c r="C65" s="771"/>
      <c r="D65" s="739"/>
      <c r="E65" s="739"/>
      <c r="F65" s="739"/>
      <c r="G65" s="739"/>
      <c r="H65" s="739"/>
      <c r="I65" s="739"/>
      <c r="J65" s="739"/>
      <c r="K65" s="739"/>
      <c r="L65" s="163"/>
    </row>
    <row r="66" spans="1:27" ht="24.95" customHeight="1" x14ac:dyDescent="0.2">
      <c r="B66" s="781" t="s">
        <v>86</v>
      </c>
      <c r="C66" s="782"/>
      <c r="D66" s="769" t="str">
        <f>IF(D65="Asphalt",$G$151,IF(D65="Concrete, finished",$G$152,IF(D65="Concrete, unfinished",$G$153,IF(D65="Grass",$G$154,IF(D65="Gravel Bottom/riprap sides",$G$155,IF(D65="Weeds",$G$156,""))))))</f>
        <v/>
      </c>
      <c r="E66" s="769"/>
      <c r="F66" s="769"/>
      <c r="G66" s="769"/>
      <c r="H66" s="769" t="str">
        <f>IF(H65="Asphalt",$G$151,IF(H65="Concrete, finished",$G$152,IF(H65="Concrete, unfinished",$G$153,IF(H65="Grass",$G$154,IF(H65="Gravel Bottom/riprap sides",$G$155,IF(H65="Weeds",$G$156,""))))))</f>
        <v/>
      </c>
      <c r="I66" s="769"/>
      <c r="J66" s="769"/>
      <c r="K66" s="769"/>
      <c r="L66" s="766" t="s">
        <v>174</v>
      </c>
    </row>
    <row r="67" spans="1:27" ht="24.95" customHeight="1" x14ac:dyDescent="0.2">
      <c r="B67" s="781" t="s">
        <v>109</v>
      </c>
      <c r="C67" s="782"/>
      <c r="D67" s="783">
        <f>IF(ISERROR(D63/D64),0,D63/D64)</f>
        <v>0</v>
      </c>
      <c r="E67" s="783"/>
      <c r="F67" s="783"/>
      <c r="G67" s="783"/>
      <c r="H67" s="783">
        <f>IF(ISERROR(H63/H64),0,H63/H64)</f>
        <v>0</v>
      </c>
      <c r="I67" s="783"/>
      <c r="J67" s="783"/>
      <c r="K67" s="783"/>
      <c r="L67" s="766"/>
    </row>
    <row r="68" spans="1:27" ht="24.95" customHeight="1" x14ac:dyDescent="0.2">
      <c r="B68" s="781" t="s">
        <v>96</v>
      </c>
      <c r="C68" s="782"/>
      <c r="D68" s="783">
        <f>IF(D64&gt;0,(1.49*(D67^(2/3))*(D62^0.5))/D66,0)</f>
        <v>0</v>
      </c>
      <c r="E68" s="783"/>
      <c r="F68" s="783"/>
      <c r="G68" s="783"/>
      <c r="H68" s="783">
        <f>IF(H64&gt;0,(1.49*(H67^(2/3))*(H62^0.5))/H66,0)</f>
        <v>0</v>
      </c>
      <c r="I68" s="783"/>
      <c r="J68" s="783"/>
      <c r="K68" s="783"/>
      <c r="L68" s="766"/>
    </row>
    <row r="69" spans="1:27" ht="24.95" customHeight="1" x14ac:dyDescent="0.2">
      <c r="B69" s="770" t="s">
        <v>89</v>
      </c>
      <c r="C69" s="780"/>
      <c r="D69" s="783">
        <f>IF(D64&gt;0,D61/(3600*D68),0)</f>
        <v>0</v>
      </c>
      <c r="E69" s="783"/>
      <c r="F69" s="783"/>
      <c r="G69" s="783"/>
      <c r="H69" s="783">
        <f>IF(H64&gt;0,H61/(3600*H68),0)</f>
        <v>0</v>
      </c>
      <c r="I69" s="783"/>
      <c r="J69" s="783"/>
      <c r="K69" s="783"/>
      <c r="L69" s="766"/>
    </row>
    <row r="70" spans="1:27" ht="24.95" customHeight="1" thickBot="1" x14ac:dyDescent="0.25">
      <c r="B70" s="819" t="s">
        <v>125</v>
      </c>
      <c r="C70" s="820"/>
      <c r="D70" s="739">
        <f>D69+D59+D49+D39+D33</f>
        <v>0</v>
      </c>
      <c r="E70" s="739"/>
      <c r="F70" s="739"/>
      <c r="G70" s="739"/>
      <c r="H70" s="739">
        <f>H69+H59+H49+H39+H33</f>
        <v>0</v>
      </c>
      <c r="I70" s="739"/>
      <c r="J70" s="739"/>
      <c r="K70" s="739"/>
      <c r="L70" s="566" t="s">
        <v>176</v>
      </c>
    </row>
    <row r="71" spans="1:27" ht="24.95" customHeight="1" thickTop="1" thickBot="1" x14ac:dyDescent="0.3">
      <c r="B71" s="443" t="s">
        <v>134</v>
      </c>
      <c r="C71" s="445"/>
      <c r="D71" s="762" t="s">
        <v>9</v>
      </c>
      <c r="E71" s="762"/>
      <c r="F71" s="762"/>
      <c r="G71" s="762"/>
      <c r="H71" s="762" t="s">
        <v>30</v>
      </c>
      <c r="I71" s="762"/>
      <c r="J71" s="762"/>
      <c r="K71" s="762"/>
      <c r="L71" s="163"/>
    </row>
    <row r="72" spans="1:27" s="169" customFormat="1" ht="24.95" hidden="1" customHeight="1" thickTop="1" x14ac:dyDescent="0.2">
      <c r="A72" s="216"/>
      <c r="B72" s="826" t="s">
        <v>386</v>
      </c>
      <c r="C72" s="827"/>
      <c r="D72" s="816" t="e">
        <f>C122*0.2</f>
        <v>#DIV/0!</v>
      </c>
      <c r="E72" s="817"/>
      <c r="F72" s="817"/>
      <c r="G72" s="818"/>
      <c r="H72" s="816" t="e">
        <f>C130*0.2</f>
        <v>#DIV/0!</v>
      </c>
      <c r="I72" s="817"/>
      <c r="J72" s="817"/>
      <c r="K72" s="832"/>
      <c r="L72" s="420"/>
      <c r="M72" s="216"/>
      <c r="N72" s="216"/>
      <c r="O72" s="216"/>
      <c r="P72" s="216"/>
      <c r="Q72" s="216"/>
      <c r="R72" s="216"/>
      <c r="S72" s="216"/>
      <c r="T72" s="216"/>
      <c r="U72" s="216"/>
      <c r="V72" s="216"/>
      <c r="W72" s="216"/>
      <c r="X72" s="216"/>
      <c r="Y72" s="216"/>
      <c r="Z72" s="216"/>
      <c r="AA72" s="216"/>
    </row>
    <row r="73" spans="1:27" s="169" customFormat="1" ht="24.95" hidden="1" customHeight="1" x14ac:dyDescent="0.2">
      <c r="A73" s="216"/>
      <c r="B73" s="814" t="s">
        <v>387</v>
      </c>
      <c r="C73" s="815"/>
      <c r="D73" s="812" t="e">
        <f>D72/$D$11</f>
        <v>#DIV/0!</v>
      </c>
      <c r="E73" s="812"/>
      <c r="F73" s="812"/>
      <c r="G73" s="812"/>
      <c r="H73" s="812" t="e">
        <f>H72/$D$11</f>
        <v>#DIV/0!</v>
      </c>
      <c r="I73" s="812"/>
      <c r="J73" s="812"/>
      <c r="K73" s="813"/>
      <c r="L73" s="421"/>
      <c r="M73" s="216"/>
      <c r="N73" s="216"/>
      <c r="O73" s="216"/>
      <c r="P73" s="216"/>
      <c r="Q73" s="216"/>
      <c r="R73" s="216"/>
      <c r="S73" s="216"/>
      <c r="T73" s="216"/>
      <c r="U73" s="216"/>
      <c r="V73" s="216"/>
      <c r="W73" s="216"/>
      <c r="X73" s="216"/>
      <c r="Y73" s="216"/>
      <c r="Z73" s="216"/>
      <c r="AA73" s="216"/>
    </row>
    <row r="74" spans="1:27" ht="24.95" customHeight="1" thickTop="1" thickBot="1" x14ac:dyDescent="0.25">
      <c r="B74" s="828" t="s">
        <v>132</v>
      </c>
      <c r="C74" s="829"/>
      <c r="D74" s="763" t="e">
        <f>$G$109</f>
        <v>#DIV/0!</v>
      </c>
      <c r="E74" s="763"/>
      <c r="F74" s="763"/>
      <c r="G74" s="763"/>
      <c r="H74" s="763" t="e">
        <f>$H$109</f>
        <v>#DIV/0!</v>
      </c>
      <c r="I74" s="763"/>
      <c r="J74" s="763"/>
      <c r="K74" s="763"/>
      <c r="L74" s="566" t="s">
        <v>177</v>
      </c>
    </row>
    <row r="75" spans="1:27" s="142" customFormat="1" ht="24.95" customHeight="1" thickTop="1" thickBot="1" x14ac:dyDescent="0.25">
      <c r="A75" s="141"/>
      <c r="B75" s="750" t="s">
        <v>223</v>
      </c>
      <c r="C75" s="751"/>
      <c r="D75" s="436"/>
      <c r="E75" s="436"/>
      <c r="F75" s="436"/>
      <c r="G75" s="436"/>
      <c r="H75" s="436"/>
      <c r="I75" s="436"/>
      <c r="J75" s="436"/>
      <c r="K75" s="437"/>
      <c r="L75" s="422"/>
      <c r="M75" s="141"/>
      <c r="N75" s="141"/>
      <c r="O75" s="141"/>
      <c r="P75" s="141"/>
      <c r="Q75" s="141"/>
      <c r="R75" s="141"/>
      <c r="S75" s="141"/>
      <c r="T75" s="141"/>
      <c r="U75" s="141"/>
      <c r="V75" s="141"/>
      <c r="W75" s="141"/>
      <c r="X75" s="141"/>
      <c r="Y75" s="141"/>
      <c r="Z75" s="141"/>
      <c r="AA75" s="141"/>
    </row>
    <row r="76" spans="1:27" s="144" customFormat="1" ht="24.95" customHeight="1" thickTop="1" x14ac:dyDescent="0.2">
      <c r="A76" s="143"/>
      <c r="B76" s="740" t="s">
        <v>402</v>
      </c>
      <c r="C76" s="741"/>
      <c r="D76" s="742">
        <f>SUM($H$26:$K$26)</f>
        <v>0</v>
      </c>
      <c r="E76" s="743"/>
      <c r="F76" s="743"/>
      <c r="G76" s="743"/>
      <c r="H76" s="743"/>
      <c r="I76" s="743"/>
      <c r="J76" s="743"/>
      <c r="K76" s="744"/>
      <c r="L76" s="566" t="s">
        <v>222</v>
      </c>
      <c r="M76" s="143"/>
      <c r="N76" s="143"/>
      <c r="O76" s="143"/>
      <c r="P76" s="143"/>
      <c r="Q76" s="143"/>
      <c r="R76" s="143"/>
      <c r="S76" s="143"/>
      <c r="T76" s="143"/>
      <c r="U76" s="143"/>
      <c r="V76" s="143"/>
      <c r="W76" s="143"/>
      <c r="X76" s="143"/>
      <c r="Y76" s="143"/>
      <c r="Z76" s="143"/>
      <c r="AA76" s="143"/>
    </row>
    <row r="77" spans="1:27" s="144" customFormat="1" ht="24.95" customHeight="1" thickBot="1" x14ac:dyDescent="0.25">
      <c r="A77" s="143"/>
      <c r="B77" s="745" t="s">
        <v>403</v>
      </c>
      <c r="C77" s="746"/>
      <c r="D77" s="747" t="e">
        <f>IF(D76&gt;0,$C$188,H74)</f>
        <v>#DIV/0!</v>
      </c>
      <c r="E77" s="748"/>
      <c r="F77" s="748"/>
      <c r="G77" s="748"/>
      <c r="H77" s="748"/>
      <c r="I77" s="748"/>
      <c r="J77" s="748"/>
      <c r="K77" s="749"/>
      <c r="L77" s="423"/>
      <c r="M77" s="143"/>
      <c r="N77" s="143"/>
      <c r="O77" s="143"/>
      <c r="P77" s="143"/>
      <c r="Q77" s="143"/>
      <c r="R77" s="143"/>
      <c r="S77" s="143"/>
      <c r="T77" s="143"/>
      <c r="U77" s="143"/>
      <c r="V77" s="143"/>
      <c r="W77" s="143"/>
      <c r="X77" s="143"/>
      <c r="Y77" s="143"/>
      <c r="Z77" s="143"/>
      <c r="AA77" s="143"/>
    </row>
    <row r="78" spans="1:27" ht="24.95" customHeight="1" thickTop="1" thickBot="1" x14ac:dyDescent="0.25">
      <c r="B78" s="750" t="s">
        <v>385</v>
      </c>
      <c r="C78" s="751"/>
      <c r="D78" s="436"/>
      <c r="E78" s="436"/>
      <c r="F78" s="436"/>
      <c r="G78" s="436"/>
      <c r="H78" s="436"/>
      <c r="I78" s="436"/>
      <c r="J78" s="436"/>
      <c r="K78" s="437"/>
      <c r="L78" s="163"/>
    </row>
    <row r="79" spans="1:27" s="555" customFormat="1" ht="24.95" hidden="1" customHeight="1" thickTop="1" x14ac:dyDescent="0.2">
      <c r="A79" s="554"/>
      <c r="B79" s="764" t="s">
        <v>552</v>
      </c>
      <c r="C79" s="765"/>
      <c r="D79" s="823">
        <f>IF(ISERROR(C170),"",(C170))</f>
        <v>0</v>
      </c>
      <c r="E79" s="824"/>
      <c r="F79" s="824"/>
      <c r="G79" s="824"/>
      <c r="H79" s="824"/>
      <c r="I79" s="824"/>
      <c r="J79" s="824"/>
      <c r="K79" s="825"/>
      <c r="L79" s="553" t="s">
        <v>389</v>
      </c>
      <c r="M79" s="554"/>
      <c r="N79" s="554"/>
      <c r="O79" s="554"/>
      <c r="P79" s="554"/>
      <c r="Q79" s="554"/>
      <c r="R79" s="554"/>
      <c r="S79" s="554"/>
      <c r="T79" s="554"/>
      <c r="U79" s="554"/>
      <c r="V79" s="554"/>
      <c r="W79" s="554"/>
      <c r="X79" s="554"/>
      <c r="Y79" s="554"/>
      <c r="Z79" s="554"/>
      <c r="AA79" s="554"/>
    </row>
    <row r="80" spans="1:27" ht="41.25" customHeight="1" thickTop="1" thickBot="1" x14ac:dyDescent="0.25">
      <c r="B80" s="757" t="s">
        <v>590</v>
      </c>
      <c r="C80" s="758"/>
      <c r="D80" s="759" t="str">
        <f>IF(ISERROR($K$175),"",($K$175))</f>
        <v/>
      </c>
      <c r="E80" s="760"/>
      <c r="F80" s="760"/>
      <c r="G80" s="760"/>
      <c r="H80" s="760"/>
      <c r="I80" s="760"/>
      <c r="J80" s="760"/>
      <c r="K80" s="761"/>
      <c r="L80" s="566" t="s">
        <v>389</v>
      </c>
    </row>
    <row r="81" spans="1:27" ht="24.95" customHeight="1" thickTop="1" thickBot="1" x14ac:dyDescent="0.25">
      <c r="B81" s="750" t="s">
        <v>384</v>
      </c>
      <c r="C81" s="751"/>
      <c r="D81" s="436"/>
      <c r="E81" s="436"/>
      <c r="F81" s="436"/>
      <c r="G81" s="436"/>
      <c r="H81" s="436"/>
      <c r="I81" s="436"/>
      <c r="J81" s="436"/>
      <c r="K81" s="437"/>
      <c r="L81" s="163"/>
    </row>
    <row r="82" spans="1:27" ht="24.95" customHeight="1" thickTop="1" x14ac:dyDescent="0.2">
      <c r="B82" s="754" t="s">
        <v>390</v>
      </c>
      <c r="C82" s="753"/>
      <c r="D82" s="755" t="e">
        <f>IF(D72&gt;'SITE DATA'!$F$26,0,C123)</f>
        <v>#DIV/0!</v>
      </c>
      <c r="E82" s="755"/>
      <c r="F82" s="755"/>
      <c r="G82" s="755"/>
      <c r="H82" s="755" t="e">
        <f>IF(H72&gt;'SITE DATA'!$F$26,0,C131)</f>
        <v>#DIV/0!</v>
      </c>
      <c r="I82" s="755"/>
      <c r="J82" s="755"/>
      <c r="K82" s="755"/>
      <c r="L82" s="566" t="s">
        <v>178</v>
      </c>
    </row>
    <row r="83" spans="1:27" ht="24.95" customHeight="1" x14ac:dyDescent="0.2">
      <c r="B83" s="752" t="s">
        <v>349</v>
      </c>
      <c r="C83" s="753"/>
      <c r="D83" s="756" t="e">
        <f>ROUND(IF(ISERROR((D82/12)*(D10*43560)),"",((D82/12)*(D10*43560))),0)</f>
        <v>#VALUE!</v>
      </c>
      <c r="E83" s="756"/>
      <c r="F83" s="756"/>
      <c r="G83" s="756"/>
      <c r="H83" s="756">
        <f>ROUND(IF(ISERROR((H82/12)*(H10*43560)),0,((H82/12)*(H10*43560))),0)</f>
        <v>0</v>
      </c>
      <c r="I83" s="756"/>
      <c r="J83" s="756"/>
      <c r="K83" s="756"/>
      <c r="L83" s="424"/>
    </row>
    <row r="84" spans="1:27" ht="39" customHeight="1" x14ac:dyDescent="0.2">
      <c r="B84" s="757" t="s">
        <v>559</v>
      </c>
      <c r="C84" s="758"/>
      <c r="D84" s="756" t="str">
        <f>IF(ISERROR(H83-D83),"",(H83-D83))</f>
        <v/>
      </c>
      <c r="E84" s="756"/>
      <c r="F84" s="756"/>
      <c r="G84" s="756"/>
      <c r="H84" s="756"/>
      <c r="I84" s="756"/>
      <c r="J84" s="756"/>
      <c r="K84" s="756"/>
      <c r="L84" s="425"/>
    </row>
    <row r="85" spans="1:27" ht="24.95" customHeight="1" thickBot="1" x14ac:dyDescent="0.25">
      <c r="B85" s="752" t="s">
        <v>350</v>
      </c>
      <c r="C85" s="753"/>
      <c r="D85" s="809" t="e">
        <f>H127</f>
        <v>#DIV/0!</v>
      </c>
      <c r="E85" s="809"/>
      <c r="F85" s="809"/>
      <c r="G85" s="809"/>
      <c r="H85" s="809" t="e">
        <f>H135</f>
        <v>#DIV/0!</v>
      </c>
      <c r="I85" s="809"/>
      <c r="J85" s="809"/>
      <c r="K85" s="809"/>
      <c r="L85" s="426" t="s">
        <v>159</v>
      </c>
    </row>
    <row r="86" spans="1:27" ht="24.95" customHeight="1" thickTop="1" thickBot="1" x14ac:dyDescent="0.25">
      <c r="B86" s="750" t="s">
        <v>374</v>
      </c>
      <c r="C86" s="751"/>
      <c r="D86" s="436"/>
      <c r="E86" s="436"/>
      <c r="F86" s="436"/>
      <c r="G86" s="436"/>
      <c r="H86" s="436"/>
      <c r="I86" s="436"/>
      <c r="J86" s="436"/>
      <c r="K86" s="437"/>
      <c r="L86" s="426"/>
    </row>
    <row r="87" spans="1:27" ht="24.95" customHeight="1" thickTop="1" x14ac:dyDescent="0.2">
      <c r="B87" s="754" t="s">
        <v>391</v>
      </c>
      <c r="C87" s="753"/>
      <c r="D87" s="755" t="e">
        <f>IF($D$72&gt;'SITE DATA'!$F$27,0,C124)</f>
        <v>#DIV/0!</v>
      </c>
      <c r="E87" s="755"/>
      <c r="F87" s="755"/>
      <c r="G87" s="755"/>
      <c r="H87" s="755" t="e">
        <f>IF($H$72&gt;'SITE DATA'!$F$27,0,C132)</f>
        <v>#DIV/0!</v>
      </c>
      <c r="I87" s="755"/>
      <c r="J87" s="755"/>
      <c r="K87" s="755"/>
      <c r="L87" s="566" t="s">
        <v>178</v>
      </c>
    </row>
    <row r="88" spans="1:27" ht="24.95" customHeight="1" x14ac:dyDescent="0.2">
      <c r="B88" s="752" t="s">
        <v>349</v>
      </c>
      <c r="C88" s="753"/>
      <c r="D88" s="756" t="e">
        <f>(D87/12)*($D$10*43560)</f>
        <v>#DIV/0!</v>
      </c>
      <c r="E88" s="756"/>
      <c r="F88" s="756"/>
      <c r="G88" s="756"/>
      <c r="H88" s="756" t="e">
        <f>(H87/12)*(H10*43560)</f>
        <v>#DIV/0!</v>
      </c>
      <c r="I88" s="756"/>
      <c r="J88" s="756"/>
      <c r="K88" s="756"/>
      <c r="L88" s="426"/>
    </row>
    <row r="89" spans="1:27" ht="24.95" customHeight="1" thickBot="1" x14ac:dyDescent="0.25">
      <c r="B89" s="752" t="s">
        <v>351</v>
      </c>
      <c r="C89" s="753"/>
      <c r="D89" s="809" t="e">
        <f>H128</f>
        <v>#DIV/0!</v>
      </c>
      <c r="E89" s="809"/>
      <c r="F89" s="809"/>
      <c r="G89" s="809"/>
      <c r="H89" s="809" t="e">
        <f>H136</f>
        <v>#DIV/0!</v>
      </c>
      <c r="I89" s="809"/>
      <c r="J89" s="809"/>
      <c r="K89" s="809"/>
      <c r="L89" s="426" t="s">
        <v>159</v>
      </c>
    </row>
    <row r="90" spans="1:27" ht="24.95" customHeight="1" thickTop="1" thickBot="1" x14ac:dyDescent="0.25">
      <c r="B90" s="750" t="s">
        <v>376</v>
      </c>
      <c r="C90" s="751"/>
      <c r="D90" s="436"/>
      <c r="E90" s="436"/>
      <c r="F90" s="436"/>
      <c r="G90" s="436"/>
      <c r="H90" s="436"/>
      <c r="I90" s="436"/>
      <c r="J90" s="436"/>
      <c r="K90" s="437"/>
      <c r="L90" s="426"/>
    </row>
    <row r="91" spans="1:27" ht="24.95" customHeight="1" thickTop="1" x14ac:dyDescent="0.2">
      <c r="B91" s="754" t="s">
        <v>392</v>
      </c>
      <c r="C91" s="753"/>
      <c r="D91" s="755" t="e">
        <f>IF($D$72&gt;'SITE DATA'!F28,0,C125)</f>
        <v>#DIV/0!</v>
      </c>
      <c r="E91" s="755"/>
      <c r="F91" s="755"/>
      <c r="G91" s="755"/>
      <c r="H91" s="755" t="e">
        <f>IF($H$72&gt;'SITE DATA'!F28,0,C133)</f>
        <v>#DIV/0!</v>
      </c>
      <c r="I91" s="755"/>
      <c r="J91" s="755"/>
      <c r="K91" s="755"/>
      <c r="L91" s="566" t="s">
        <v>178</v>
      </c>
    </row>
    <row r="92" spans="1:27" ht="24.95" customHeight="1" x14ac:dyDescent="0.2">
      <c r="B92" s="752" t="s">
        <v>349</v>
      </c>
      <c r="C92" s="753"/>
      <c r="D92" s="756" t="e">
        <f>(D91/12)*($D$10*43560)</f>
        <v>#DIV/0!</v>
      </c>
      <c r="E92" s="756"/>
      <c r="F92" s="756"/>
      <c r="G92" s="756"/>
      <c r="H92" s="756" t="e">
        <f>(H91/12)*($D$10*43560)</f>
        <v>#DIV/0!</v>
      </c>
      <c r="I92" s="756"/>
      <c r="J92" s="756"/>
      <c r="K92" s="756"/>
      <c r="L92" s="426"/>
    </row>
    <row r="93" spans="1:27" ht="24.95" customHeight="1" thickBot="1" x14ac:dyDescent="0.25">
      <c r="B93" s="810" t="s">
        <v>352</v>
      </c>
      <c r="C93" s="811"/>
      <c r="D93" s="808" t="e">
        <f>H129</f>
        <v>#DIV/0!</v>
      </c>
      <c r="E93" s="808"/>
      <c r="F93" s="808"/>
      <c r="G93" s="808"/>
      <c r="H93" s="808" t="e">
        <f>H137</f>
        <v>#DIV/0!</v>
      </c>
      <c r="I93" s="808"/>
      <c r="J93" s="808"/>
      <c r="K93" s="808"/>
      <c r="L93" s="426"/>
    </row>
    <row r="94" spans="1:27" s="507" customFormat="1" ht="24.95" hidden="1" customHeight="1" thickTop="1" x14ac:dyDescent="0.2">
      <c r="B94" s="165"/>
      <c r="C94" s="165"/>
      <c r="D94" s="807" t="e">
        <f>IF($H$93&gt;$D$93,"Post-development peak flow exceeds pre-development peak flow for this DA!","")</f>
        <v>#DIV/0!</v>
      </c>
      <c r="E94" s="807"/>
      <c r="F94" s="807"/>
      <c r="G94" s="807"/>
      <c r="H94" s="807"/>
      <c r="I94" s="807"/>
      <c r="J94" s="807"/>
      <c r="K94" s="807"/>
    </row>
    <row r="95" spans="1:27" s="507" customFormat="1" ht="15" hidden="1" customHeight="1" x14ac:dyDescent="0.2">
      <c r="B95" s="155"/>
      <c r="C95" s="165"/>
      <c r="D95" s="167"/>
      <c r="E95" s="167"/>
      <c r="F95" s="167"/>
      <c r="G95" s="167"/>
      <c r="H95" s="167"/>
      <c r="I95" s="167"/>
      <c r="J95" s="167"/>
      <c r="K95" s="167"/>
      <c r="L95" s="168"/>
    </row>
    <row r="96" spans="1:27" s="169" customFormat="1" ht="15.75" hidden="1" customHeight="1" x14ac:dyDescent="0.25">
      <c r="A96" s="216"/>
      <c r="B96" s="806" t="s">
        <v>126</v>
      </c>
      <c r="C96" s="806"/>
      <c r="D96" s="806"/>
      <c r="E96" s="806"/>
      <c r="F96" s="806"/>
      <c r="G96" s="806"/>
      <c r="H96" s="806"/>
      <c r="I96" s="806"/>
      <c r="J96" s="806"/>
      <c r="K96" s="806"/>
      <c r="L96" s="806"/>
      <c r="M96" s="216"/>
      <c r="N96" s="216"/>
      <c r="O96" s="216"/>
      <c r="P96" s="216"/>
      <c r="Q96" s="216"/>
      <c r="R96" s="216"/>
      <c r="S96" s="216"/>
      <c r="T96" s="216"/>
      <c r="U96" s="216"/>
      <c r="V96" s="216"/>
      <c r="W96" s="216"/>
      <c r="X96" s="216"/>
      <c r="Y96" s="216"/>
      <c r="Z96" s="216"/>
      <c r="AA96" s="216"/>
    </row>
    <row r="97" spans="2:14" s="507" customFormat="1" ht="15" hidden="1" customHeight="1" x14ac:dyDescent="0.2">
      <c r="K97" s="167"/>
      <c r="L97" s="168"/>
    </row>
    <row r="98" spans="2:14" ht="18.75" hidden="1" customHeight="1" thickBot="1" x14ac:dyDescent="0.25">
      <c r="B98" s="855" t="s">
        <v>133</v>
      </c>
      <c r="C98" s="856"/>
      <c r="D98" s="856"/>
      <c r="E98" s="856"/>
      <c r="F98" s="856"/>
      <c r="G98" s="856"/>
      <c r="H98" s="856"/>
      <c r="I98" s="856"/>
      <c r="J98" s="170"/>
      <c r="K98" s="507"/>
      <c r="L98" s="507"/>
    </row>
    <row r="99" spans="2:14" ht="60" hidden="1" customHeight="1" x14ac:dyDescent="0.2">
      <c r="B99" s="171" t="s">
        <v>14</v>
      </c>
      <c r="C99" s="172" t="s">
        <v>15</v>
      </c>
      <c r="D99" s="172" t="s">
        <v>16</v>
      </c>
      <c r="E99" s="172" t="s">
        <v>18</v>
      </c>
      <c r="F99" s="172" t="s">
        <v>17</v>
      </c>
      <c r="G99" s="224" t="s">
        <v>289</v>
      </c>
      <c r="H99" s="225" t="s">
        <v>290</v>
      </c>
      <c r="I99" s="250" t="s">
        <v>377</v>
      </c>
      <c r="J99" s="249"/>
      <c r="K99" s="508"/>
      <c r="L99" s="507"/>
    </row>
    <row r="100" spans="2:14" ht="15" hidden="1" customHeight="1" x14ac:dyDescent="0.2">
      <c r="B100" s="173" t="s">
        <v>12</v>
      </c>
      <c r="C100" s="568">
        <v>39</v>
      </c>
      <c r="D100" s="568">
        <v>61</v>
      </c>
      <c r="E100" s="568">
        <v>74</v>
      </c>
      <c r="F100" s="568">
        <v>80</v>
      </c>
      <c r="G100" s="567">
        <f t="shared" ref="G100:G107" si="0">(C100*D17)+(D100*E17)+(E100*F17)+(F100*G17)</f>
        <v>0</v>
      </c>
      <c r="H100" s="569">
        <f>($C$100*$H$17)+($D$100*$I$17)+($E$100*$J$17)+($F$100*$K$17)</f>
        <v>0</v>
      </c>
      <c r="I100" s="251">
        <f>($C$100*$H$17)+($D$100*$I$17)+($E$100*$J$17)+($F$100*$K$17)</f>
        <v>0</v>
      </c>
      <c r="J100" s="508"/>
      <c r="K100" s="508"/>
      <c r="L100" s="507"/>
    </row>
    <row r="101" spans="2:14" ht="18" hidden="1" customHeight="1" x14ac:dyDescent="0.2">
      <c r="B101" s="173" t="s">
        <v>233</v>
      </c>
      <c r="C101" s="568">
        <v>45</v>
      </c>
      <c r="D101" s="568">
        <v>66</v>
      </c>
      <c r="E101" s="568">
        <v>77</v>
      </c>
      <c r="F101" s="568">
        <v>83</v>
      </c>
      <c r="G101" s="567">
        <f t="shared" si="0"/>
        <v>0</v>
      </c>
      <c r="H101" s="569">
        <f>($C$101*$H$18)+($D$101*$I$18)+($E$101*$J$18)+($F$101*$K$18)</f>
        <v>0</v>
      </c>
      <c r="I101" s="251">
        <f>($C$101*$H$18)+($D$101*$I$18)+($E$101*$J$18)+($F$101*$K$18)</f>
        <v>0</v>
      </c>
      <c r="J101" s="508"/>
      <c r="K101" s="508"/>
      <c r="L101" s="507"/>
    </row>
    <row r="102" spans="2:14" ht="18" hidden="1" customHeight="1" x14ac:dyDescent="0.2">
      <c r="B102" s="173" t="s">
        <v>235</v>
      </c>
      <c r="C102" s="568">
        <v>36</v>
      </c>
      <c r="D102" s="568">
        <v>60</v>
      </c>
      <c r="E102" s="568">
        <v>73</v>
      </c>
      <c r="F102" s="568">
        <v>79</v>
      </c>
      <c r="G102" s="567">
        <f t="shared" si="0"/>
        <v>0</v>
      </c>
      <c r="H102" s="569">
        <f>($C$102*$H$19)+($D$102*$I$19)+($E$102*$J$19)+($F$102*$K$19)</f>
        <v>0</v>
      </c>
      <c r="I102" s="251">
        <f>($C$102*$H$19)+($D$102*$I$19)+($E$102*$J$19)+($F$102*$K$19)</f>
        <v>0</v>
      </c>
      <c r="J102" s="508"/>
      <c r="K102" s="508"/>
      <c r="L102" s="507"/>
    </row>
    <row r="103" spans="2:14" ht="18" hidden="1" customHeight="1" x14ac:dyDescent="0.2">
      <c r="B103" s="173" t="s">
        <v>236</v>
      </c>
      <c r="C103" s="568">
        <v>30</v>
      </c>
      <c r="D103" s="568">
        <v>55</v>
      </c>
      <c r="E103" s="568">
        <v>70</v>
      </c>
      <c r="F103" s="568">
        <v>77</v>
      </c>
      <c r="G103" s="567">
        <f t="shared" si="0"/>
        <v>0</v>
      </c>
      <c r="H103" s="569">
        <f>($C$103*$H$20)+($D$103*$I$20)+($E$103*$J$20)+($F$103*$K$20)</f>
        <v>0</v>
      </c>
      <c r="I103" s="251">
        <f>($C$103*$H$20)+($D$103*$I$20)+($E$103*$J$20)+($F$103*$K$20)</f>
        <v>0</v>
      </c>
      <c r="J103" s="508"/>
      <c r="K103" s="508"/>
      <c r="L103" s="507"/>
    </row>
    <row r="104" spans="2:14" ht="18" hidden="1" customHeight="1" x14ac:dyDescent="0.2">
      <c r="B104" s="173" t="s">
        <v>234</v>
      </c>
      <c r="C104" s="568">
        <v>68</v>
      </c>
      <c r="D104" s="568">
        <v>79</v>
      </c>
      <c r="E104" s="568">
        <v>86</v>
      </c>
      <c r="F104" s="568">
        <v>89</v>
      </c>
      <c r="G104" s="567">
        <f t="shared" si="0"/>
        <v>0</v>
      </c>
      <c r="H104" s="569">
        <f>($C$104*$H$21)+($D$104*$I$21)+($E$104*$J$21)+($F$104*$K$21)</f>
        <v>0</v>
      </c>
      <c r="I104" s="251">
        <f>($C$104*$H$21)+($D$104*$I$21)+($E$104*$J$21)+($F$104*$K$21)</f>
        <v>0</v>
      </c>
      <c r="J104" s="508"/>
      <c r="K104" s="508"/>
      <c r="L104" s="507"/>
    </row>
    <row r="105" spans="2:14" ht="18" hidden="1" customHeight="1" x14ac:dyDescent="0.2">
      <c r="B105" s="173" t="s">
        <v>237</v>
      </c>
      <c r="C105" s="568">
        <v>49</v>
      </c>
      <c r="D105" s="568">
        <v>69</v>
      </c>
      <c r="E105" s="568">
        <v>79</v>
      </c>
      <c r="F105" s="568">
        <v>84</v>
      </c>
      <c r="G105" s="567">
        <f t="shared" si="0"/>
        <v>0</v>
      </c>
      <c r="H105" s="569">
        <f>($C$105*$H$22)+($D$105*$I$22)+($E$105*$J$22)+($F$105*$K$22)</f>
        <v>0</v>
      </c>
      <c r="I105" s="251">
        <f>($C$105*$H$22)+($D$105*$I$22)+($E$105*$J$22)+($F$105*$K$22)</f>
        <v>0</v>
      </c>
      <c r="J105" s="508"/>
      <c r="K105" s="508"/>
      <c r="L105" s="507"/>
    </row>
    <row r="106" spans="2:14" ht="18" hidden="1" customHeight="1" x14ac:dyDescent="0.2">
      <c r="B106" s="173" t="s">
        <v>238</v>
      </c>
      <c r="C106" s="568">
        <v>39</v>
      </c>
      <c r="D106" s="568">
        <v>61</v>
      </c>
      <c r="E106" s="568">
        <v>74</v>
      </c>
      <c r="F106" s="568">
        <v>80</v>
      </c>
      <c r="G106" s="567">
        <f t="shared" si="0"/>
        <v>0</v>
      </c>
      <c r="H106" s="569">
        <f>($C$106*$H$23)+($D$106*$I$23)+($E$106*$J$23)+($F$106*$K$23)</f>
        <v>0</v>
      </c>
      <c r="I106" s="251">
        <f>($C$106*$H$23)+($D$106*$I$23)+($E$106*$J$23)+($F$106*$K$23)</f>
        <v>0</v>
      </c>
      <c r="J106" s="508"/>
      <c r="K106" s="508"/>
      <c r="L106" s="507"/>
    </row>
    <row r="107" spans="2:14" ht="15" hidden="1" customHeight="1" x14ac:dyDescent="0.2">
      <c r="B107" s="173" t="s">
        <v>245</v>
      </c>
      <c r="C107" s="568">
        <v>30</v>
      </c>
      <c r="D107" s="568">
        <v>55</v>
      </c>
      <c r="E107" s="568">
        <v>70</v>
      </c>
      <c r="F107" s="568">
        <v>77</v>
      </c>
      <c r="G107" s="567">
        <f t="shared" si="0"/>
        <v>0</v>
      </c>
      <c r="H107" s="569">
        <f>($C$107*$H$24)+($D$107*$I$24)+($E$107*$J$24)+($F$107*$K$24)</f>
        <v>0</v>
      </c>
      <c r="I107" s="251">
        <f>($C$107*$H$24)+($D$107*$I$24)+($E$107*$J$24)+($F$107*$K$24)</f>
        <v>0</v>
      </c>
      <c r="J107" s="508"/>
      <c r="K107" s="508"/>
      <c r="L107" s="507"/>
    </row>
    <row r="108" spans="2:14" ht="18.75" hidden="1" customHeight="1" thickBot="1" x14ac:dyDescent="0.25">
      <c r="B108" s="175" t="s">
        <v>243</v>
      </c>
      <c r="C108" s="176">
        <v>98</v>
      </c>
      <c r="D108" s="176">
        <v>98</v>
      </c>
      <c r="E108" s="177">
        <v>98</v>
      </c>
      <c r="F108" s="177">
        <v>98</v>
      </c>
      <c r="G108" s="228">
        <f>(C108*(D26+D25))+(D108*(E26+E25))+(E108*(F26+F25))+(F108*(G26+G25))</f>
        <v>0</v>
      </c>
      <c r="H108" s="229">
        <f>($C$108*(H25+H26))+($D$108*(I25+I26))+($E$108*(J25+J26))+($F$108*(K25+K26))</f>
        <v>0</v>
      </c>
      <c r="I108" s="252">
        <f>($C$108*H26)+($D$108*I26)+($E$108*J26)+($F$108*K26)</f>
        <v>0</v>
      </c>
      <c r="J108" s="508" t="s">
        <v>370</v>
      </c>
      <c r="K108" s="508"/>
      <c r="L108" s="507"/>
    </row>
    <row r="109" spans="2:14" ht="15.75" hidden="1" customHeight="1" thickBot="1" x14ac:dyDescent="0.25">
      <c r="B109" s="178"/>
      <c r="C109" s="146"/>
      <c r="D109" s="146"/>
      <c r="E109" s="869" t="s">
        <v>265</v>
      </c>
      <c r="F109" s="870"/>
      <c r="G109" s="414" t="e">
        <f>ROUND((SUM(G100:G108)/SUM(D17:G26)),2)</f>
        <v>#DIV/0!</v>
      </c>
      <c r="H109" s="414" t="e">
        <f>ROUND((SUM(H100:H108)/SUM(H17:K26)),2)</f>
        <v>#DIV/0!</v>
      </c>
      <c r="I109" s="415" t="e">
        <f>ROUND(SUM(I100:I108)/(SUM(H17:K26)-SUM(H25:K25)),2)</f>
        <v>#DIV/0!</v>
      </c>
      <c r="J109" s="508"/>
      <c r="K109" s="508"/>
      <c r="L109" s="507"/>
    </row>
    <row r="110" spans="2:14" ht="15" hidden="1" customHeight="1" x14ac:dyDescent="0.2">
      <c r="B110" s="509"/>
      <c r="C110" s="506"/>
      <c r="D110" s="506"/>
      <c r="E110" s="159"/>
      <c r="F110" s="159"/>
      <c r="G110" s="159"/>
      <c r="H110" s="506"/>
      <c r="I110" s="506"/>
      <c r="J110" s="507"/>
      <c r="K110" s="167"/>
      <c r="L110" s="168"/>
    </row>
    <row r="111" spans="2:14" ht="15.75" hidden="1" customHeight="1" thickBot="1" x14ac:dyDescent="0.25">
      <c r="B111" s="507"/>
      <c r="C111" s="507"/>
      <c r="D111" s="506"/>
      <c r="E111" s="507"/>
      <c r="F111" s="507"/>
      <c r="G111" s="507"/>
      <c r="H111" s="507"/>
      <c r="I111" s="507"/>
      <c r="J111" s="507"/>
      <c r="K111" s="507"/>
    </row>
    <row r="112" spans="2:14" ht="18.75" hidden="1" customHeight="1" thickBot="1" x14ac:dyDescent="0.3">
      <c r="B112" s="836" t="s">
        <v>383</v>
      </c>
      <c r="C112" s="837"/>
      <c r="D112" s="506"/>
      <c r="E112" s="849" t="s">
        <v>55</v>
      </c>
      <c r="F112" s="850"/>
      <c r="G112" s="850"/>
      <c r="H112" s="850"/>
      <c r="I112" s="850"/>
      <c r="J112" s="850"/>
      <c r="K112" s="850"/>
      <c r="L112" s="850"/>
      <c r="M112" s="850"/>
      <c r="N112" s="851"/>
    </row>
    <row r="113" spans="2:14" ht="15" hidden="1" customHeight="1" x14ac:dyDescent="0.2">
      <c r="B113" s="838"/>
      <c r="C113" s="839"/>
      <c r="D113" s="506"/>
      <c r="E113" s="865" t="s">
        <v>32</v>
      </c>
      <c r="F113" s="866"/>
      <c r="G113" s="866"/>
      <c r="H113" s="866"/>
      <c r="I113" s="866"/>
      <c r="J113" s="866"/>
      <c r="K113" s="866"/>
      <c r="L113" s="866"/>
      <c r="M113" s="866"/>
      <c r="N113" s="867"/>
    </row>
    <row r="114" spans="2:14" ht="18" hidden="1" customHeight="1" x14ac:dyDescent="0.2">
      <c r="B114" s="64"/>
      <c r="C114" s="113"/>
      <c r="D114" s="506"/>
      <c r="E114" s="265"/>
      <c r="F114" s="159"/>
      <c r="G114" s="266"/>
      <c r="H114" s="266"/>
      <c r="I114" s="266"/>
      <c r="J114" s="266"/>
      <c r="K114" s="510"/>
      <c r="L114" s="181"/>
      <c r="M114" s="506"/>
      <c r="N114" s="513"/>
    </row>
    <row r="115" spans="2:14" ht="20.25" hidden="1" customHeight="1" x14ac:dyDescent="0.35">
      <c r="B115" s="863" t="s">
        <v>40</v>
      </c>
      <c r="C115" s="864"/>
      <c r="D115" s="506"/>
      <c r="E115" s="265"/>
      <c r="F115" s="266"/>
      <c r="G115" s="267" t="s">
        <v>149</v>
      </c>
      <c r="H115" s="267"/>
      <c r="I115" s="268"/>
      <c r="J115" s="506" t="s">
        <v>138</v>
      </c>
      <c r="K115" s="510"/>
      <c r="L115" s="181"/>
      <c r="M115" s="506"/>
      <c r="N115" s="513"/>
    </row>
    <row r="116" spans="2:14" ht="60" hidden="1" customHeight="1" x14ac:dyDescent="0.2">
      <c r="B116" s="863" t="s">
        <v>22</v>
      </c>
      <c r="C116" s="864"/>
      <c r="D116" s="182" t="s">
        <v>304</v>
      </c>
      <c r="E116" s="265"/>
      <c r="F116" s="266"/>
      <c r="G116" s="267" t="s">
        <v>33</v>
      </c>
      <c r="H116" s="267"/>
      <c r="I116" s="267"/>
      <c r="J116" s="510"/>
      <c r="K116" s="267" t="s">
        <v>33</v>
      </c>
      <c r="L116" s="181"/>
      <c r="M116" s="506"/>
      <c r="N116" s="513"/>
    </row>
    <row r="117" spans="2:14" ht="19.5" hidden="1" customHeight="1" x14ac:dyDescent="0.35">
      <c r="B117" s="183" t="s">
        <v>45</v>
      </c>
      <c r="C117" s="184"/>
      <c r="D117" s="506"/>
      <c r="E117" s="265"/>
      <c r="F117" s="266"/>
      <c r="G117" s="267" t="s">
        <v>128</v>
      </c>
      <c r="H117" s="267"/>
      <c r="I117" s="267"/>
      <c r="J117" s="266"/>
      <c r="K117" s="506" t="s">
        <v>139</v>
      </c>
      <c r="L117" s="181"/>
      <c r="M117" s="506"/>
      <c r="N117" s="513"/>
    </row>
    <row r="118" spans="2:14" ht="19.5" hidden="1" customHeight="1" x14ac:dyDescent="0.35">
      <c r="B118" s="183" t="s">
        <v>41</v>
      </c>
      <c r="C118" s="114"/>
      <c r="D118" s="506"/>
      <c r="E118" s="265"/>
      <c r="F118" s="181"/>
      <c r="G118" s="267" t="s">
        <v>158</v>
      </c>
      <c r="H118" s="268"/>
      <c r="I118" s="268"/>
      <c r="J118" s="268"/>
      <c r="K118" s="506" t="s">
        <v>140</v>
      </c>
      <c r="L118" s="181"/>
      <c r="M118" s="506"/>
      <c r="N118" s="513"/>
    </row>
    <row r="119" spans="2:14" ht="20.25" hidden="1" customHeight="1" x14ac:dyDescent="0.35">
      <c r="B119" s="185"/>
      <c r="C119" s="184"/>
      <c r="D119" s="506"/>
      <c r="E119" s="265"/>
      <c r="F119" s="266"/>
      <c r="G119" s="267" t="s">
        <v>130</v>
      </c>
      <c r="H119" s="267"/>
      <c r="I119" s="267"/>
      <c r="J119" s="266"/>
      <c r="K119" s="510"/>
      <c r="L119" s="269"/>
      <c r="M119" s="506"/>
      <c r="N119" s="513"/>
    </row>
    <row r="120" spans="2:14" ht="15" hidden="1" customHeight="1" x14ac:dyDescent="0.2">
      <c r="B120" s="186" t="s">
        <v>48</v>
      </c>
      <c r="C120" s="184"/>
      <c r="D120" s="506"/>
      <c r="E120" s="265"/>
      <c r="F120" s="266"/>
      <c r="G120" s="267" t="s">
        <v>34</v>
      </c>
      <c r="H120" s="267"/>
      <c r="I120" s="267"/>
      <c r="J120" s="266"/>
      <c r="K120" s="510"/>
      <c r="L120" s="269"/>
      <c r="M120" s="506"/>
      <c r="N120" s="513"/>
    </row>
    <row r="121" spans="2:14" ht="19.5" hidden="1" customHeight="1" x14ac:dyDescent="0.35">
      <c r="B121" s="51" t="s">
        <v>20</v>
      </c>
      <c r="C121" s="187" t="s">
        <v>42</v>
      </c>
      <c r="D121" s="506"/>
      <c r="E121" s="265"/>
      <c r="F121" s="159"/>
      <c r="G121" s="267" t="s">
        <v>150</v>
      </c>
      <c r="H121" s="506"/>
      <c r="I121" s="506"/>
      <c r="J121" s="270"/>
      <c r="K121" s="506"/>
      <c r="L121" s="271"/>
      <c r="M121" s="506"/>
      <c r="N121" s="513"/>
    </row>
    <row r="122" spans="2:14" ht="15.75" hidden="1" customHeight="1" x14ac:dyDescent="0.2">
      <c r="B122" s="51" t="s">
        <v>20</v>
      </c>
      <c r="C122" s="115" t="e">
        <f>(1000/$G$109)-10</f>
        <v>#DIV/0!</v>
      </c>
      <c r="D122" s="506"/>
      <c r="E122" s="860" t="s">
        <v>35</v>
      </c>
      <c r="F122" s="861"/>
      <c r="G122" s="861"/>
      <c r="H122" s="861"/>
      <c r="I122" s="861"/>
      <c r="J122" s="861"/>
      <c r="K122" s="861"/>
      <c r="L122" s="861"/>
      <c r="M122" s="861"/>
      <c r="N122" s="862"/>
    </row>
    <row r="123" spans="2:14" ht="19.5" hidden="1" customHeight="1" x14ac:dyDescent="0.25">
      <c r="B123" s="188" t="s">
        <v>330</v>
      </c>
      <c r="C123" s="76" t="e">
        <f>(($D$11-(0.2*$C$122))^2)/($D$11+(0.8*$C$122))</f>
        <v>#DIV/0!</v>
      </c>
      <c r="D123" s="506"/>
      <c r="E123" s="265"/>
      <c r="F123" s="272"/>
      <c r="G123" s="269" t="s">
        <v>61</v>
      </c>
      <c r="H123" s="273" t="e">
        <f>N125</f>
        <v>#DIV/0!</v>
      </c>
      <c r="I123" s="269" t="s">
        <v>36</v>
      </c>
      <c r="J123" s="506"/>
      <c r="K123" s="511" t="s">
        <v>141</v>
      </c>
      <c r="L123" s="190" t="e">
        <f>IF(D73&gt;0.475,$J$147,IF(D73&gt;0.425,$J$146,IF(D73&gt;0.375,$J$145,IF(D73&gt;0.325,$J$144,IF(D73&gt;0.2,$J$143,$J$142)))))</f>
        <v>#DIV/0!</v>
      </c>
      <c r="M123" s="191"/>
      <c r="N123" s="232"/>
    </row>
    <row r="124" spans="2:14" ht="19.5" hidden="1" customHeight="1" x14ac:dyDescent="0.35">
      <c r="B124" s="188" t="s">
        <v>331</v>
      </c>
      <c r="C124" s="76" t="e">
        <f>(($D$12-(0.2*$C$122))^2)/($D$12+(0.8*$C$122))</f>
        <v>#DIV/0!</v>
      </c>
      <c r="D124" s="506"/>
      <c r="E124" s="274"/>
      <c r="F124" s="272"/>
      <c r="G124" s="269" t="s">
        <v>62</v>
      </c>
      <c r="H124" s="275">
        <f>(D9/640)</f>
        <v>0</v>
      </c>
      <c r="I124" s="269" t="s">
        <v>63</v>
      </c>
      <c r="J124" s="506"/>
      <c r="K124" s="511" t="s">
        <v>142</v>
      </c>
      <c r="L124" s="192" t="e">
        <f>IF(L123=J142,K142,IF(L123=J143,K143,IF(L123=J144,K144,IF(L123=J145,K145,IF(L123=J146,K146,IF(L123=J147,K147,""))))))</f>
        <v>#DIV/0!</v>
      </c>
      <c r="M124" s="165" t="s">
        <v>145</v>
      </c>
      <c r="N124" s="513" t="e">
        <f>L124+(L125*LOG(N126))+(L126*((LOG(N126))^2))</f>
        <v>#DIV/0!</v>
      </c>
    </row>
    <row r="125" spans="2:14" ht="19.5" hidden="1" customHeight="1" x14ac:dyDescent="0.35">
      <c r="B125" s="188" t="s">
        <v>332</v>
      </c>
      <c r="C125" s="76" t="e">
        <f>(($D$13-(0.2*$C$122))^2)/($D$13+(0.8*$C$122))</f>
        <v>#DIV/0!</v>
      </c>
      <c r="D125" s="506"/>
      <c r="E125" s="276" t="s">
        <v>151</v>
      </c>
      <c r="F125" s="277" t="e">
        <f>($D$15/$D$9)*100</f>
        <v>#DIV/0!</v>
      </c>
      <c r="G125" s="278" t="s">
        <v>169</v>
      </c>
      <c r="H125" s="273" t="e">
        <f>IF($F$125&gt;4.44,$N$157,IF($F$125&gt;2.44,$N$156,IF($F$125&gt;0.45,$N$155,IF($F$125&gt;0.144,$N$154,1))))</f>
        <v>#DIV/0!</v>
      </c>
      <c r="I125" s="269"/>
      <c r="J125" s="506"/>
      <c r="K125" s="511" t="s">
        <v>143</v>
      </c>
      <c r="L125" s="192" t="e">
        <f>IF($L$123=J142,L142,IF($L$123=J143,L143,IF($L$123=J144,L144,IF($L$123=J145,L145,IF($L$123=J146,L146,IF($L$123=J147,L147,""))))))</f>
        <v>#DIV/0!</v>
      </c>
      <c r="M125" s="165" t="s">
        <v>146</v>
      </c>
      <c r="N125" s="513" t="e">
        <f>10^N124</f>
        <v>#DIV/0!</v>
      </c>
    </row>
    <row r="126" spans="2:14" ht="19.5" hidden="1" customHeight="1" x14ac:dyDescent="0.35">
      <c r="B126" s="186" t="s">
        <v>49</v>
      </c>
      <c r="C126" s="184"/>
      <c r="D126" s="506"/>
      <c r="E126" s="233"/>
      <c r="F126" s="234"/>
      <c r="G126" s="234"/>
      <c r="H126" s="234"/>
      <c r="I126" s="234"/>
      <c r="J126" s="506"/>
      <c r="K126" s="511" t="s">
        <v>144</v>
      </c>
      <c r="L126" s="192" t="e">
        <f>IF($L$123=J142,M142,IF($L$123=J143,M143,IF($L$123=J144,M144,IF($L$123=J145,M145,IF($L$123=J146,M146,IF($L$123=J147,M147,""))))))</f>
        <v>#DIV/0!</v>
      </c>
      <c r="M126" s="165" t="s">
        <v>72</v>
      </c>
      <c r="N126" s="235">
        <f>D70</f>
        <v>0</v>
      </c>
    </row>
    <row r="127" spans="2:14" ht="18.75" hidden="1" customHeight="1" x14ac:dyDescent="0.2">
      <c r="B127" s="186"/>
      <c r="C127" s="184"/>
      <c r="D127" s="506"/>
      <c r="E127" s="276"/>
      <c r="F127" s="277"/>
      <c r="G127" s="279" t="s">
        <v>37</v>
      </c>
      <c r="H127" s="280" t="e">
        <f>$H$124*C123*$H$125*$H$123</f>
        <v>#DIV/0!</v>
      </c>
      <c r="I127" s="279" t="s">
        <v>38</v>
      </c>
      <c r="J127" s="506"/>
      <c r="K127" s="511"/>
      <c r="L127" s="192"/>
      <c r="M127" s="165"/>
      <c r="N127" s="235"/>
    </row>
    <row r="128" spans="2:14" ht="18.75" hidden="1" customHeight="1" x14ac:dyDescent="0.2">
      <c r="B128" s="186"/>
      <c r="C128" s="184"/>
      <c r="D128" s="506"/>
      <c r="E128" s="276"/>
      <c r="F128" s="277"/>
      <c r="G128" s="279" t="s">
        <v>327</v>
      </c>
      <c r="H128" s="280" t="e">
        <f>$H$124*C124*$H$125*$H$123</f>
        <v>#DIV/0!</v>
      </c>
      <c r="I128" s="279" t="s">
        <v>38</v>
      </c>
      <c r="J128" s="506"/>
      <c r="K128" s="511"/>
      <c r="L128" s="192"/>
      <c r="M128" s="165"/>
      <c r="N128" s="235"/>
    </row>
    <row r="129" spans="2:14" ht="18.75" hidden="1" customHeight="1" x14ac:dyDescent="0.2">
      <c r="B129" s="51" t="s">
        <v>20</v>
      </c>
      <c r="C129" s="187" t="s">
        <v>42</v>
      </c>
      <c r="D129" s="506"/>
      <c r="E129" s="265"/>
      <c r="F129" s="281"/>
      <c r="G129" s="279" t="s">
        <v>328</v>
      </c>
      <c r="H129" s="280" t="e">
        <f>$H$124*C125*$H$125*$H$123</f>
        <v>#DIV/0!</v>
      </c>
      <c r="I129" s="279" t="s">
        <v>38</v>
      </c>
      <c r="J129" s="506"/>
      <c r="K129" s="506"/>
      <c r="L129" s="159"/>
      <c r="M129" s="506"/>
      <c r="N129" s="202"/>
    </row>
    <row r="130" spans="2:14" ht="15.75" hidden="1" customHeight="1" x14ac:dyDescent="0.25">
      <c r="B130" s="51" t="s">
        <v>20</v>
      </c>
      <c r="C130" s="115" t="e">
        <f>(1000/D77)-10</f>
        <v>#DIV/0!</v>
      </c>
      <c r="D130" s="506"/>
      <c r="E130" s="857" t="s">
        <v>47</v>
      </c>
      <c r="F130" s="858"/>
      <c r="G130" s="858"/>
      <c r="H130" s="858"/>
      <c r="I130" s="858"/>
      <c r="J130" s="858"/>
      <c r="K130" s="858"/>
      <c r="L130" s="858"/>
      <c r="M130" s="858"/>
      <c r="N130" s="859"/>
    </row>
    <row r="131" spans="2:14" ht="19.5" hidden="1" customHeight="1" x14ac:dyDescent="0.25">
      <c r="B131" s="188" t="s">
        <v>330</v>
      </c>
      <c r="C131" s="76" t="e">
        <f>($D$11-(0.2*$C$130))^2/($D$11+(0.8*$C$130))</f>
        <v>#DIV/0!</v>
      </c>
      <c r="D131" s="506"/>
      <c r="E131" s="282"/>
      <c r="F131" s="272"/>
      <c r="G131" s="269" t="s">
        <v>61</v>
      </c>
      <c r="H131" s="273" t="e">
        <f>N133</f>
        <v>#DIV/0!</v>
      </c>
      <c r="I131" s="269" t="s">
        <v>36</v>
      </c>
      <c r="J131" s="506"/>
      <c r="K131" s="511" t="s">
        <v>141</v>
      </c>
      <c r="L131" s="190" t="e">
        <f>IF(H73&gt;0.475,$J$147,IF(H73&gt;0.425,$J$146,IF(H73&gt;0.375,$J$145,IF(H73&gt;0.325,$J$144,IF(H73&gt;0.2,$J$143,$J$142)))))</f>
        <v>#DIV/0!</v>
      </c>
      <c r="M131" s="506"/>
      <c r="N131" s="202"/>
    </row>
    <row r="132" spans="2:14" ht="19.5" hidden="1" customHeight="1" x14ac:dyDescent="0.35">
      <c r="B132" s="188" t="s">
        <v>331</v>
      </c>
      <c r="C132" s="76" t="e">
        <f>($D$12-(0.2*$C$130))^2/($D$12+(0.8*$C$130))</f>
        <v>#DIV/0!</v>
      </c>
      <c r="D132" s="506"/>
      <c r="E132" s="265"/>
      <c r="F132" s="283"/>
      <c r="G132" s="269" t="s">
        <v>62</v>
      </c>
      <c r="H132" s="275">
        <f>(H9/640)</f>
        <v>0</v>
      </c>
      <c r="I132" s="269" t="s">
        <v>63</v>
      </c>
      <c r="J132" s="506"/>
      <c r="K132" s="511" t="s">
        <v>142</v>
      </c>
      <c r="L132" s="192" t="e">
        <f>IF($L$131=J142,K142,IF($L$131=J143,K143,IF($L$131=J144,K144,IF($L$131=J145,K145,IF($L$131=J146,K146,IF($L$131=J147,K147,""))))))</f>
        <v>#DIV/0!</v>
      </c>
      <c r="M132" s="165" t="s">
        <v>145</v>
      </c>
      <c r="N132" s="202" t="e">
        <f>L132+(L133*LOG(N134))+(L134*((LOG(N134))^2))</f>
        <v>#DIV/0!</v>
      </c>
    </row>
    <row r="133" spans="2:14" ht="20.25" hidden="1" customHeight="1" thickBot="1" x14ac:dyDescent="0.4">
      <c r="B133" s="193" t="s">
        <v>332</v>
      </c>
      <c r="C133" s="138" t="e">
        <f>($D$13-(0.2*$C$130))^2/($D$13+(0.8*$C$130))</f>
        <v>#DIV/0!</v>
      </c>
      <c r="D133" s="506"/>
      <c r="E133" s="276" t="s">
        <v>151</v>
      </c>
      <c r="F133" s="277" t="e">
        <f>($H$15/$H$9)*100</f>
        <v>#DIV/0!</v>
      </c>
      <c r="G133" s="278" t="s">
        <v>169</v>
      </c>
      <c r="H133" s="273" t="e">
        <f>IF(F133&gt;4.44,$N$157,IF(F133&gt;2.44,$N$156,IF(F133&gt;0.45,$N$155,IF(F133&gt;0.144,$N$154,1))))</f>
        <v>#DIV/0!</v>
      </c>
      <c r="I133" s="279" t="s">
        <v>38</v>
      </c>
      <c r="J133" s="506"/>
      <c r="K133" s="511" t="s">
        <v>143</v>
      </c>
      <c r="L133" s="192" t="e">
        <f>IF($L$131=J142,L142,IF($L$131=J143,L143,IF($L$131=J144,L144,IF($L$131=J145,L145,IF($L$131=J146,L146,IF($L$131=J147,L147,""))))))</f>
        <v>#DIV/0!</v>
      </c>
      <c r="M133" s="165" t="s">
        <v>146</v>
      </c>
      <c r="N133" s="202" t="e">
        <f>10^N132</f>
        <v>#DIV/0!</v>
      </c>
    </row>
    <row r="134" spans="2:14" ht="19.5" hidden="1" customHeight="1" x14ac:dyDescent="0.35">
      <c r="B134" s="74"/>
      <c r="C134" s="93"/>
      <c r="D134" s="194"/>
      <c r="E134" s="276"/>
      <c r="F134" s="277"/>
      <c r="G134" s="278"/>
      <c r="H134" s="273"/>
      <c r="I134" s="279"/>
      <c r="J134" s="506"/>
      <c r="K134" s="511" t="s">
        <v>144</v>
      </c>
      <c r="L134" s="192" t="e">
        <f>IF($L$131=J142,M142,IF($L$131=J143,M143,IF($L$131=J144,M144,IF($L$131=J145,M145,IF($L$131=J146,M146,IF($L$131=J147,M147,""))))))</f>
        <v>#DIV/0!</v>
      </c>
      <c r="M134" s="165" t="s">
        <v>72</v>
      </c>
      <c r="N134" s="235">
        <f>H70</f>
        <v>0</v>
      </c>
    </row>
    <row r="135" spans="2:14" ht="18.75" hidden="1" customHeight="1" x14ac:dyDescent="0.25">
      <c r="B135" s="74"/>
      <c r="C135" s="93"/>
      <c r="D135" s="194"/>
      <c r="E135" s="276"/>
      <c r="F135" s="277"/>
      <c r="G135" s="279" t="s">
        <v>37</v>
      </c>
      <c r="H135" s="280" t="e">
        <f>$H$132*$C$131*$H$133*$H$131</f>
        <v>#DIV/0!</v>
      </c>
      <c r="I135" s="279" t="s">
        <v>38</v>
      </c>
      <c r="J135" s="506"/>
      <c r="K135" s="511"/>
      <c r="L135" s="192"/>
      <c r="M135" s="165"/>
      <c r="N135" s="235"/>
    </row>
    <row r="136" spans="2:14" ht="18.75" hidden="1" customHeight="1" x14ac:dyDescent="0.25">
      <c r="B136" s="74"/>
      <c r="C136" s="93"/>
      <c r="D136" s="194"/>
      <c r="E136" s="276"/>
      <c r="F136" s="277"/>
      <c r="G136" s="279" t="s">
        <v>327</v>
      </c>
      <c r="H136" s="280" t="e">
        <f>$H$132*$C$132*$H$133*$H$131</f>
        <v>#DIV/0!</v>
      </c>
      <c r="I136" s="279" t="s">
        <v>38</v>
      </c>
      <c r="J136" s="506"/>
      <c r="K136" s="511"/>
      <c r="L136" s="192"/>
      <c r="M136" s="165"/>
      <c r="N136" s="235"/>
    </row>
    <row r="137" spans="2:14" ht="19.5" hidden="1" customHeight="1" thickBot="1" x14ac:dyDescent="0.25">
      <c r="B137" s="195"/>
      <c r="C137" s="75"/>
      <c r="D137" s="506"/>
      <c r="E137" s="211"/>
      <c r="F137" s="501"/>
      <c r="G137" s="285" t="s">
        <v>328</v>
      </c>
      <c r="H137" s="284" t="e">
        <f>$H$132*$C$133*$H$133*$H$131</f>
        <v>#DIV/0!</v>
      </c>
      <c r="I137" s="285" t="s">
        <v>38</v>
      </c>
      <c r="J137" s="501"/>
      <c r="K137" s="501"/>
      <c r="L137" s="236"/>
      <c r="M137" s="501"/>
      <c r="N137" s="222"/>
    </row>
    <row r="138" spans="2:14" ht="15.75" hidden="1" customHeight="1" thickBot="1" x14ac:dyDescent="0.25">
      <c r="B138" s="507"/>
      <c r="C138" s="507"/>
      <c r="D138" s="507"/>
      <c r="E138" s="160"/>
      <c r="F138" s="160"/>
      <c r="G138" s="160"/>
      <c r="H138" s="507"/>
      <c r="I138" s="198"/>
      <c r="J138" s="506"/>
      <c r="K138" s="506"/>
      <c r="L138" s="159"/>
      <c r="M138" s="506"/>
      <c r="N138" s="465"/>
    </row>
    <row r="139" spans="2:14" ht="15.75" hidden="1" customHeight="1" thickBot="1" x14ac:dyDescent="0.25">
      <c r="B139" s="507"/>
      <c r="C139" s="507"/>
      <c r="D139" s="507"/>
      <c r="E139" s="160"/>
      <c r="F139" s="160"/>
      <c r="G139" s="160"/>
      <c r="H139" s="507"/>
      <c r="I139" s="198"/>
      <c r="J139" s="871" t="s">
        <v>152</v>
      </c>
      <c r="K139" s="872"/>
      <c r="L139" s="872"/>
      <c r="M139" s="873"/>
      <c r="N139" s="466"/>
    </row>
    <row r="140" spans="2:14" ht="15.75" hidden="1" customHeight="1" thickBot="1" x14ac:dyDescent="0.25">
      <c r="B140" s="840" t="s">
        <v>84</v>
      </c>
      <c r="C140" s="841"/>
      <c r="D140" s="841"/>
      <c r="E140" s="841"/>
      <c r="F140" s="841"/>
      <c r="G140" s="842"/>
      <c r="H140" s="507"/>
      <c r="I140" s="198"/>
      <c r="J140" s="874"/>
      <c r="K140" s="875"/>
      <c r="L140" s="875"/>
      <c r="M140" s="876"/>
      <c r="N140" s="467"/>
    </row>
    <row r="141" spans="2:14" ht="15.75" hidden="1" customHeight="1" thickBot="1" x14ac:dyDescent="0.25">
      <c r="B141" s="846"/>
      <c r="C141" s="847"/>
      <c r="D141" s="847"/>
      <c r="E141" s="847"/>
      <c r="F141" s="847"/>
      <c r="G141" s="848"/>
      <c r="H141" s="507"/>
      <c r="I141" s="198"/>
      <c r="J141" s="91" t="s">
        <v>135</v>
      </c>
      <c r="K141" s="92" t="s">
        <v>136</v>
      </c>
      <c r="L141" s="92" t="s">
        <v>137</v>
      </c>
      <c r="M141" s="468" t="s">
        <v>525</v>
      </c>
      <c r="N141" s="469"/>
    </row>
    <row r="142" spans="2:14" ht="15.75" hidden="1" customHeight="1" x14ac:dyDescent="0.2">
      <c r="B142" s="199" t="s">
        <v>81</v>
      </c>
      <c r="C142" s="200"/>
      <c r="D142" s="200"/>
      <c r="E142" s="200"/>
      <c r="F142" s="200"/>
      <c r="G142" s="201" t="s">
        <v>82</v>
      </c>
      <c r="H142" s="507"/>
      <c r="I142" s="198"/>
      <c r="J142" s="88">
        <v>0.1</v>
      </c>
      <c r="K142" s="87">
        <v>2.5532300000000001</v>
      </c>
      <c r="L142" s="87">
        <v>-0.61512</v>
      </c>
      <c r="M142" s="470">
        <v>-0.16403000000000001</v>
      </c>
      <c r="N142" s="469"/>
    </row>
    <row r="143" spans="2:14" ht="15" hidden="1" customHeight="1" x14ac:dyDescent="0.2">
      <c r="B143" s="178" t="s">
        <v>91</v>
      </c>
      <c r="C143" s="146"/>
      <c r="D143" s="146"/>
      <c r="E143" s="146"/>
      <c r="F143" s="146"/>
      <c r="G143" s="202">
        <v>1.0999999999999999E-2</v>
      </c>
      <c r="H143" s="507"/>
      <c r="I143" s="198"/>
      <c r="J143" s="88">
        <v>0.3</v>
      </c>
      <c r="K143" s="87">
        <v>2.4653200000000002</v>
      </c>
      <c r="L143" s="87">
        <v>-0.62256999999999996</v>
      </c>
      <c r="M143" s="470">
        <v>-0.11656999999999999</v>
      </c>
      <c r="N143" s="469"/>
    </row>
    <row r="144" spans="2:14" ht="15" hidden="1" customHeight="1" x14ac:dyDescent="0.2">
      <c r="B144" s="178" t="s">
        <v>83</v>
      </c>
      <c r="C144" s="146"/>
      <c r="D144" s="146"/>
      <c r="E144" s="146"/>
      <c r="F144" s="146"/>
      <c r="G144" s="202">
        <v>0.24</v>
      </c>
      <c r="H144" s="507"/>
      <c r="I144" s="198"/>
      <c r="J144" s="88">
        <v>0.35</v>
      </c>
      <c r="K144" s="87">
        <v>2.4189600000000002</v>
      </c>
      <c r="L144" s="87">
        <v>-0.61594000000000004</v>
      </c>
      <c r="M144" s="470">
        <v>-8.8200000000000001E-2</v>
      </c>
      <c r="N144" s="469"/>
    </row>
    <row r="145" spans="2:14" ht="15.75" hidden="1" customHeight="1" thickBot="1" x14ac:dyDescent="0.25">
      <c r="B145" s="203" t="s">
        <v>13</v>
      </c>
      <c r="C145" s="204"/>
      <c r="D145" s="204"/>
      <c r="E145" s="204"/>
      <c r="F145" s="204"/>
      <c r="G145" s="205">
        <v>0.4</v>
      </c>
      <c r="H145" s="507"/>
      <c r="I145" s="198"/>
      <c r="J145" s="88">
        <v>0.4</v>
      </c>
      <c r="K145" s="87">
        <v>2.36409</v>
      </c>
      <c r="L145" s="87">
        <v>-0.59857000000000005</v>
      </c>
      <c r="M145" s="470">
        <v>-5.6210000000000003E-2</v>
      </c>
      <c r="N145" s="471"/>
    </row>
    <row r="146" spans="2:14" ht="15.75" hidden="1" customHeight="1" thickBot="1" x14ac:dyDescent="0.25">
      <c r="B146" s="507"/>
      <c r="C146" s="507"/>
      <c r="D146" s="507"/>
      <c r="E146" s="160"/>
      <c r="F146" s="160"/>
      <c r="G146" s="160"/>
      <c r="H146" s="507"/>
      <c r="I146" s="198"/>
      <c r="J146" s="88">
        <v>0.45</v>
      </c>
      <c r="K146" s="87">
        <v>2.2923800000000001</v>
      </c>
      <c r="L146" s="87">
        <v>-0.57004999999999995</v>
      </c>
      <c r="M146" s="470">
        <v>-2.281E-2</v>
      </c>
      <c r="N146" s="472"/>
    </row>
    <row r="147" spans="2:14" ht="15.75" hidden="1" customHeight="1" thickBot="1" x14ac:dyDescent="0.25">
      <c r="B147" s="840" t="s">
        <v>216</v>
      </c>
      <c r="C147" s="841"/>
      <c r="D147" s="841"/>
      <c r="E147" s="841"/>
      <c r="F147" s="841"/>
      <c r="G147" s="842"/>
      <c r="H147" s="507"/>
      <c r="I147" s="198"/>
      <c r="J147" s="89">
        <v>0.5</v>
      </c>
      <c r="K147" s="90">
        <v>2.20282</v>
      </c>
      <c r="L147" s="90">
        <v>-0.51598999999999995</v>
      </c>
      <c r="M147" s="473">
        <v>-1.259E-2</v>
      </c>
      <c r="N147" s="474"/>
    </row>
    <row r="148" spans="2:14" ht="15.75" hidden="1" customHeight="1" thickBot="1" x14ac:dyDescent="0.25">
      <c r="B148" s="843"/>
      <c r="C148" s="844"/>
      <c r="D148" s="844"/>
      <c r="E148" s="844"/>
      <c r="F148" s="844"/>
      <c r="G148" s="845"/>
      <c r="H148" s="507"/>
      <c r="I148" s="198"/>
      <c r="J148" s="105"/>
      <c r="K148" s="112"/>
      <c r="L148" s="107"/>
      <c r="M148" s="106"/>
      <c r="N148" s="474"/>
    </row>
    <row r="149" spans="2:14" ht="15.75" hidden="1" customHeight="1" thickBot="1" x14ac:dyDescent="0.25">
      <c r="B149" s="846"/>
      <c r="C149" s="847"/>
      <c r="D149" s="847"/>
      <c r="E149" s="847"/>
      <c r="F149" s="847"/>
      <c r="G149" s="848"/>
      <c r="H149" s="507"/>
      <c r="I149" s="877" t="s">
        <v>148</v>
      </c>
      <c r="J149" s="841"/>
      <c r="K149" s="841"/>
      <c r="L149" s="841"/>
      <c r="M149" s="841"/>
      <c r="N149" s="878"/>
    </row>
    <row r="150" spans="2:14" ht="15.75" hidden="1" customHeight="1" x14ac:dyDescent="0.25">
      <c r="B150" s="207" t="s">
        <v>117</v>
      </c>
      <c r="C150" s="512"/>
      <c r="D150" s="512"/>
      <c r="E150" s="512"/>
      <c r="F150" s="512"/>
      <c r="G150" s="208" t="s">
        <v>82</v>
      </c>
      <c r="H150" s="507"/>
      <c r="I150" s="879"/>
      <c r="J150" s="844"/>
      <c r="K150" s="844"/>
      <c r="L150" s="844"/>
      <c r="M150" s="844"/>
      <c r="N150" s="880"/>
    </row>
    <row r="151" spans="2:14" ht="15.75" hidden="1" customHeight="1" thickBot="1" x14ac:dyDescent="0.25">
      <c r="B151" s="509" t="s">
        <v>118</v>
      </c>
      <c r="C151" s="506"/>
      <c r="D151" s="506"/>
      <c r="E151" s="506"/>
      <c r="F151" s="506"/>
      <c r="G151" s="202">
        <v>1.6E-2</v>
      </c>
      <c r="H151" s="507"/>
      <c r="I151" s="881"/>
      <c r="J151" s="847"/>
      <c r="K151" s="847"/>
      <c r="L151" s="847"/>
      <c r="M151" s="847"/>
      <c r="N151" s="882"/>
    </row>
    <row r="152" spans="2:14" ht="18.75" hidden="1" customHeight="1" x14ac:dyDescent="0.25">
      <c r="B152" s="509" t="s">
        <v>119</v>
      </c>
      <c r="C152" s="506"/>
      <c r="D152" s="506"/>
      <c r="E152" s="506"/>
      <c r="F152" s="506"/>
      <c r="G152" s="202">
        <v>1.2E-2</v>
      </c>
      <c r="H152" s="507"/>
      <c r="I152" s="209" t="s">
        <v>147</v>
      </c>
      <c r="J152" s="512"/>
      <c r="K152" s="512"/>
      <c r="L152" s="197"/>
      <c r="M152" s="512"/>
      <c r="N152" s="475" t="s">
        <v>526</v>
      </c>
    </row>
    <row r="153" spans="2:14" ht="15" hidden="1" customHeight="1" x14ac:dyDescent="0.2">
      <c r="B153" s="509" t="s">
        <v>120</v>
      </c>
      <c r="C153" s="506"/>
      <c r="D153" s="506"/>
      <c r="E153" s="506"/>
      <c r="F153" s="506"/>
      <c r="G153" s="202">
        <v>1.4E-2</v>
      </c>
      <c r="H153" s="507"/>
      <c r="I153" s="210">
        <v>0</v>
      </c>
      <c r="J153" s="506"/>
      <c r="K153" s="506"/>
      <c r="L153" s="160" t="s">
        <v>153</v>
      </c>
      <c r="M153" s="506"/>
      <c r="N153" s="476">
        <v>1</v>
      </c>
    </row>
    <row r="154" spans="2:14" ht="15" hidden="1" customHeight="1" x14ac:dyDescent="0.2">
      <c r="B154" s="509" t="s">
        <v>83</v>
      </c>
      <c r="C154" s="506"/>
      <c r="D154" s="506"/>
      <c r="E154" s="506"/>
      <c r="F154" s="506"/>
      <c r="G154" s="202">
        <v>3.5000000000000003E-2</v>
      </c>
      <c r="H154" s="507"/>
      <c r="I154" s="210">
        <v>0.2</v>
      </c>
      <c r="J154" s="506"/>
      <c r="K154" s="506"/>
      <c r="L154" s="159" t="s">
        <v>157</v>
      </c>
      <c r="M154" s="506"/>
      <c r="N154" s="477">
        <v>0.97</v>
      </c>
    </row>
    <row r="155" spans="2:14" ht="15" hidden="1" customHeight="1" x14ac:dyDescent="0.2">
      <c r="B155" s="509" t="s">
        <v>122</v>
      </c>
      <c r="C155" s="506"/>
      <c r="D155" s="506"/>
      <c r="E155" s="506"/>
      <c r="F155" s="506"/>
      <c r="G155" s="202">
        <v>3.3000000000000002E-2</v>
      </c>
      <c r="H155" s="507"/>
      <c r="I155" s="210">
        <v>1</v>
      </c>
      <c r="J155" s="506"/>
      <c r="K155" s="506"/>
      <c r="L155" s="159" t="s">
        <v>156</v>
      </c>
      <c r="M155" s="506"/>
      <c r="N155" s="477">
        <v>0.87</v>
      </c>
    </row>
    <row r="156" spans="2:14" ht="15.75" hidden="1" customHeight="1" thickBot="1" x14ac:dyDescent="0.25">
      <c r="B156" s="211" t="s">
        <v>121</v>
      </c>
      <c r="C156" s="501"/>
      <c r="D156" s="501"/>
      <c r="E156" s="501"/>
      <c r="F156" s="501"/>
      <c r="G156" s="213">
        <v>0.04</v>
      </c>
      <c r="H156" s="507"/>
      <c r="I156" s="210">
        <v>3</v>
      </c>
      <c r="J156" s="506"/>
      <c r="K156" s="506"/>
      <c r="L156" s="159" t="s">
        <v>155</v>
      </c>
      <c r="M156" s="506"/>
      <c r="N156" s="477">
        <v>0.75</v>
      </c>
    </row>
    <row r="157" spans="2:14" ht="15" hidden="1" customHeight="1" x14ac:dyDescent="0.2">
      <c r="B157" s="507"/>
      <c r="C157" s="507"/>
      <c r="D157" s="507"/>
      <c r="E157" s="160"/>
      <c r="F157" s="160"/>
      <c r="G157" s="160"/>
      <c r="H157" s="507"/>
      <c r="I157" s="210">
        <v>5</v>
      </c>
      <c r="J157" s="506"/>
      <c r="K157" s="506"/>
      <c r="L157" s="214" t="s">
        <v>154</v>
      </c>
      <c r="M157" s="506"/>
      <c r="N157" s="477">
        <v>0.72</v>
      </c>
    </row>
    <row r="158" spans="2:14" ht="15.75" hidden="1" customHeight="1" x14ac:dyDescent="0.25">
      <c r="B158" s="215" t="s">
        <v>46</v>
      </c>
      <c r="C158" s="216"/>
      <c r="D158" s="216"/>
      <c r="E158" s="217"/>
      <c r="F158" s="217"/>
      <c r="G158" s="217"/>
      <c r="H158" s="216"/>
      <c r="I158" s="218"/>
      <c r="J158" s="117"/>
      <c r="K158" s="116"/>
      <c r="L158" s="107"/>
      <c r="M158" s="478"/>
      <c r="N158" s="474"/>
    </row>
    <row r="159" spans="2:14" ht="15.75" hidden="1" customHeight="1" thickBot="1" x14ac:dyDescent="0.25">
      <c r="B159" s="219" t="s">
        <v>102</v>
      </c>
      <c r="C159" s="216"/>
      <c r="D159" s="216"/>
      <c r="E159" s="217"/>
      <c r="F159" s="217"/>
      <c r="G159" s="217"/>
      <c r="H159" s="216"/>
      <c r="I159" s="220"/>
      <c r="J159" s="118"/>
      <c r="K159" s="119"/>
      <c r="L159" s="108"/>
      <c r="M159" s="479"/>
      <c r="N159" s="480"/>
    </row>
    <row r="160" spans="2:14" ht="15.75" hidden="1" customHeight="1" thickTop="1" x14ac:dyDescent="0.2">
      <c r="B160" s="219" t="s">
        <v>103</v>
      </c>
      <c r="C160" s="216"/>
      <c r="D160" s="216"/>
      <c r="E160" s="217"/>
      <c r="F160" s="217"/>
      <c r="G160" s="217"/>
      <c r="H160" s="216"/>
      <c r="I160" s="216"/>
      <c r="J160" s="117"/>
      <c r="K160" s="120"/>
      <c r="L160" s="109"/>
    </row>
    <row r="161" spans="2:14" ht="15" hidden="1" customHeight="1" x14ac:dyDescent="0.2">
      <c r="B161" s="216"/>
      <c r="C161" s="216"/>
      <c r="D161" s="216"/>
      <c r="E161" s="217"/>
      <c r="F161" s="217"/>
      <c r="G161" s="217"/>
      <c r="H161" s="216"/>
      <c r="I161" s="117"/>
      <c r="J161" s="107"/>
      <c r="K161" s="106"/>
      <c r="L161" s="110"/>
    </row>
    <row r="162" spans="2:14" ht="15.75" hidden="1" customHeight="1" thickBot="1" x14ac:dyDescent="0.25">
      <c r="B162" s="216"/>
      <c r="C162" s="217"/>
      <c r="D162" s="217"/>
      <c r="E162" s="217"/>
      <c r="F162" s="216"/>
      <c r="G162" s="216"/>
      <c r="H162" s="117"/>
      <c r="I162" s="111"/>
      <c r="J162" s="105"/>
      <c r="K162" s="206"/>
      <c r="L162" s="507"/>
    </row>
    <row r="163" spans="2:14" ht="16.5" hidden="1" customHeight="1" thickBot="1" x14ac:dyDescent="0.3">
      <c r="B163" s="852" t="s">
        <v>206</v>
      </c>
      <c r="C163" s="853"/>
      <c r="D163" s="853"/>
      <c r="E163" s="853"/>
      <c r="F163" s="854"/>
      <c r="G163" s="514"/>
      <c r="H163" s="514"/>
      <c r="I163" s="507"/>
      <c r="J163" s="542"/>
      <c r="K163" s="543" t="s">
        <v>532</v>
      </c>
      <c r="L163" s="544"/>
    </row>
    <row r="164" spans="2:14" ht="15" hidden="1" customHeight="1" x14ac:dyDescent="0.2">
      <c r="B164" s="517"/>
      <c r="C164" s="510"/>
      <c r="D164" s="510"/>
      <c r="E164" s="510"/>
      <c r="F164" s="518"/>
      <c r="G164" s="514"/>
      <c r="H164" s="514"/>
      <c r="I164" s="507"/>
      <c r="J164" s="530"/>
      <c r="K164" s="512"/>
      <c r="L164" s="522"/>
    </row>
    <row r="165" spans="2:14" ht="19.5" hidden="1" customHeight="1" x14ac:dyDescent="0.35">
      <c r="B165" s="509" t="s">
        <v>533</v>
      </c>
      <c r="C165" s="510"/>
      <c r="D165" s="510"/>
      <c r="E165" s="510"/>
      <c r="F165" s="518"/>
      <c r="G165" s="508"/>
      <c r="H165" s="514"/>
      <c r="I165" s="507"/>
      <c r="J165" s="509" t="s">
        <v>534</v>
      </c>
      <c r="K165" s="506"/>
      <c r="L165" s="513"/>
    </row>
    <row r="166" spans="2:14" ht="15" hidden="1" customHeight="1" x14ac:dyDescent="0.2">
      <c r="B166" s="509"/>
      <c r="C166" s="510"/>
      <c r="D166" s="510"/>
      <c r="E166" s="510"/>
      <c r="F166" s="518"/>
      <c r="G166" s="508"/>
      <c r="H166" s="514"/>
      <c r="I166" s="507"/>
      <c r="J166" s="509" t="s">
        <v>535</v>
      </c>
      <c r="K166" s="506"/>
      <c r="L166" s="513"/>
    </row>
    <row r="167" spans="2:14" ht="15" hidden="1" customHeight="1" x14ac:dyDescent="0.2">
      <c r="B167" s="524" t="s">
        <v>536</v>
      </c>
      <c r="C167" s="549">
        <f>SUM(H25:K26)</f>
        <v>0</v>
      </c>
      <c r="D167" s="510"/>
      <c r="E167" s="524" t="s">
        <v>537</v>
      </c>
      <c r="F167" s="533">
        <f>SUM(H17:K24)</f>
        <v>0</v>
      </c>
      <c r="G167" s="547" t="s">
        <v>538</v>
      </c>
      <c r="H167" s="514"/>
      <c r="I167" s="507"/>
      <c r="J167" s="509" t="s">
        <v>539</v>
      </c>
      <c r="K167" s="506"/>
      <c r="L167" s="513"/>
    </row>
    <row r="168" spans="2:14" ht="19.5" hidden="1" customHeight="1" x14ac:dyDescent="0.35">
      <c r="B168" s="519" t="s">
        <v>540</v>
      </c>
      <c r="C168" s="515">
        <f>(1000/98)-10</f>
        <v>0.20408163265306101</v>
      </c>
      <c r="D168" s="510"/>
      <c r="E168" s="505" t="s">
        <v>380</v>
      </c>
      <c r="F168" s="520" t="e">
        <f>IF(I109&gt;64,(1000/I109)-10,0)</f>
        <v>#DIV/0!</v>
      </c>
      <c r="G168" s="514"/>
      <c r="H168" s="514"/>
      <c r="I168" s="507"/>
      <c r="J168" s="509" t="s">
        <v>541</v>
      </c>
      <c r="K168" s="506"/>
      <c r="L168" s="513"/>
    </row>
    <row r="169" spans="2:14" ht="20.25" hidden="1" customHeight="1" thickBot="1" x14ac:dyDescent="0.25">
      <c r="B169" s="519" t="s">
        <v>542</v>
      </c>
      <c r="C169" s="516">
        <f>(1-(0.2*$C$168))^2/(1+(0.8*$C$168))</f>
        <v>0.79090583601861819</v>
      </c>
      <c r="D169" s="510"/>
      <c r="E169" s="505" t="s">
        <v>381</v>
      </c>
      <c r="F169" s="548" t="e">
        <f>IF(I109&gt;64,(1-(0.2*F168))^2/(1+(0.8*F168)),0)</f>
        <v>#DIV/0!</v>
      </c>
      <c r="G169" s="514"/>
      <c r="H169" s="514"/>
      <c r="I169" s="523"/>
      <c r="J169" s="538"/>
      <c r="K169" s="511" t="s">
        <v>543</v>
      </c>
      <c r="L169" s="539" t="e">
        <f>(SUM(H25:K26))/H9</f>
        <v>#DIV/0!</v>
      </c>
      <c r="M169" s="507" t="s">
        <v>544</v>
      </c>
    </row>
    <row r="170" spans="2:14" s="497" customFormat="1" ht="24" hidden="1" customHeight="1" thickBot="1" x14ac:dyDescent="0.4">
      <c r="B170" s="524" t="s">
        <v>545</v>
      </c>
      <c r="C170" s="545">
        <f>(C169/12)*(C167*43560)</f>
        <v>0</v>
      </c>
      <c r="D170" s="511"/>
      <c r="E170" s="511" t="s">
        <v>545</v>
      </c>
      <c r="F170" s="546" t="e">
        <f>(F169/12)*(F167*43560)</f>
        <v>#DIV/0!</v>
      </c>
      <c r="G170" s="530" t="s">
        <v>546</v>
      </c>
      <c r="H170" s="521"/>
      <c r="I170" s="536"/>
      <c r="J170" s="540"/>
      <c r="K170" s="511" t="s">
        <v>547</v>
      </c>
      <c r="L170" s="539" t="e">
        <f>0.05+(0.9*L169)</f>
        <v>#DIV/0!</v>
      </c>
      <c r="M170" s="523"/>
      <c r="N170" s="523"/>
    </row>
    <row r="171" spans="2:14" s="497" customFormat="1" ht="24" hidden="1" customHeight="1" thickBot="1" x14ac:dyDescent="0.4">
      <c r="B171" s="524" t="s">
        <v>382</v>
      </c>
      <c r="C171" s="525" t="e">
        <f>(C169*C167+F169*F167)/H10</f>
        <v>#DIV/0!</v>
      </c>
      <c r="D171" s="526"/>
      <c r="E171" s="510"/>
      <c r="F171" s="518"/>
      <c r="G171" s="552" t="e">
        <f>C170+F170</f>
        <v>#DIV/0!</v>
      </c>
      <c r="H171" s="532"/>
      <c r="I171" s="506" t="s">
        <v>548</v>
      </c>
      <c r="J171" s="540"/>
      <c r="K171" s="534" t="s">
        <v>549</v>
      </c>
      <c r="L171" s="535" t="e">
        <f>3630*1*L170*H9</f>
        <v>#DIV/0!</v>
      </c>
      <c r="M171" s="523"/>
      <c r="N171" s="523"/>
    </row>
    <row r="172" spans="2:14" s="497" customFormat="1" ht="15.75" hidden="1" customHeight="1" thickBot="1" x14ac:dyDescent="0.25">
      <c r="B172" s="527"/>
      <c r="C172" s="528"/>
      <c r="D172" s="528"/>
      <c r="E172" s="528"/>
      <c r="F172" s="529"/>
      <c r="G172" s="527"/>
      <c r="H172" s="528"/>
      <c r="I172" s="537"/>
      <c r="J172" s="541"/>
      <c r="K172" s="537"/>
      <c r="L172" s="531"/>
      <c r="M172" s="523"/>
      <c r="N172" s="523"/>
    </row>
    <row r="173" spans="2:14" s="497" customFormat="1" ht="15" hidden="1" customHeight="1" x14ac:dyDescent="0.2">
      <c r="B173" s="868" t="s">
        <v>161</v>
      </c>
      <c r="C173" s="868"/>
      <c r="D173" s="868"/>
      <c r="E173" s="868"/>
      <c r="F173" s="523"/>
      <c r="G173" s="523"/>
      <c r="H173" s="523"/>
      <c r="I173" s="523"/>
      <c r="J173" s="523"/>
      <c r="K173" s="523"/>
      <c r="L173" s="523"/>
      <c r="M173" s="523"/>
      <c r="N173" s="523"/>
    </row>
    <row r="174" spans="2:14" s="497" customFormat="1" ht="15.75" hidden="1" customHeight="1" thickBot="1" x14ac:dyDescent="0.25">
      <c r="B174" s="868"/>
      <c r="C174" s="868"/>
      <c r="D174" s="868"/>
      <c r="E174" s="868"/>
      <c r="F174" s="523"/>
      <c r="G174" s="523"/>
      <c r="H174" s="523"/>
      <c r="I174" s="507"/>
      <c r="J174" s="523"/>
      <c r="K174" s="523"/>
      <c r="L174" s="523"/>
      <c r="M174" s="523"/>
      <c r="N174" s="523"/>
    </row>
    <row r="175" spans="2:14" s="497" customFormat="1" ht="16.5" hidden="1" customHeight="1" thickBot="1" x14ac:dyDescent="0.3">
      <c r="B175" s="351"/>
      <c r="C175" s="352"/>
      <c r="D175" s="353"/>
      <c r="E175" s="351"/>
      <c r="F175" s="523"/>
      <c r="G175" s="523"/>
      <c r="H175" s="523"/>
      <c r="I175" s="507" t="s">
        <v>550</v>
      </c>
      <c r="J175" s="523"/>
      <c r="K175" s="551" t="e">
        <f>IF(G171&gt;L171,G171,L171)</f>
        <v>#DIV/0!</v>
      </c>
      <c r="L175" s="507" t="s">
        <v>551</v>
      </c>
      <c r="M175" s="523"/>
      <c r="N175" s="523"/>
    </row>
    <row r="176" spans="2:14" s="497" customFormat="1" ht="19.5" hidden="1" customHeight="1" x14ac:dyDescent="0.2">
      <c r="B176" s="833" t="s">
        <v>227</v>
      </c>
      <c r="C176" s="833"/>
      <c r="D176" s="833"/>
      <c r="E176" s="833"/>
      <c r="F176" s="507"/>
      <c r="G176" s="523"/>
      <c r="H176" s="349"/>
      <c r="I176" s="350"/>
      <c r="J176" s="523"/>
      <c r="K176" s="523"/>
      <c r="L176" s="523"/>
      <c r="M176" s="523"/>
      <c r="N176" s="523"/>
    </row>
    <row r="177" spans="2:14" s="497" customFormat="1" ht="15" hidden="1" customHeight="1" x14ac:dyDescent="0.2">
      <c r="B177" s="834" t="s">
        <v>33</v>
      </c>
      <c r="C177" s="834"/>
      <c r="D177" s="834"/>
      <c r="E177" s="834"/>
      <c r="F177" s="523"/>
      <c r="G177" s="523"/>
      <c r="H177" s="523"/>
      <c r="I177" s="523"/>
      <c r="J177" s="523"/>
      <c r="K177" s="523"/>
      <c r="L177" s="523"/>
      <c r="M177" s="523"/>
      <c r="N177" s="523"/>
    </row>
    <row r="178" spans="2:14" s="497" customFormat="1" ht="19.5" hidden="1" customHeight="1" x14ac:dyDescent="0.2">
      <c r="B178" s="833" t="s">
        <v>228</v>
      </c>
      <c r="C178" s="833"/>
      <c r="D178" s="833"/>
      <c r="E178" s="833"/>
      <c r="F178" s="523"/>
      <c r="G178" s="523"/>
      <c r="H178" s="523"/>
      <c r="I178" s="523"/>
      <c r="J178" s="523"/>
      <c r="K178" s="523"/>
      <c r="L178" s="523"/>
      <c r="M178" s="523"/>
      <c r="N178" s="523"/>
    </row>
    <row r="179" spans="2:14" s="497" customFormat="1" ht="19.5" hidden="1" customHeight="1" x14ac:dyDescent="0.2">
      <c r="B179" s="833" t="s">
        <v>224</v>
      </c>
      <c r="C179" s="833"/>
      <c r="D179" s="833"/>
      <c r="E179" s="833"/>
      <c r="F179" s="523"/>
      <c r="G179" s="523"/>
      <c r="H179" s="523"/>
      <c r="I179" s="523"/>
      <c r="J179" s="523"/>
      <c r="K179" s="523"/>
      <c r="L179" s="523"/>
      <c r="M179" s="523"/>
      <c r="N179" s="523"/>
    </row>
    <row r="180" spans="2:14" s="497" customFormat="1" ht="19.5" hidden="1" customHeight="1" x14ac:dyDescent="0.2">
      <c r="B180" s="833" t="s">
        <v>162</v>
      </c>
      <c r="C180" s="833"/>
      <c r="D180" s="833"/>
      <c r="E180" s="833"/>
      <c r="F180" s="523"/>
      <c r="G180" s="523"/>
      <c r="H180" s="523"/>
      <c r="I180" s="523"/>
      <c r="J180" s="523"/>
      <c r="K180" s="523"/>
      <c r="L180" s="523"/>
      <c r="M180" s="523"/>
      <c r="N180" s="523"/>
    </row>
    <row r="181" spans="2:14" s="497" customFormat="1" ht="15" hidden="1" customHeight="1" x14ac:dyDescent="0.2">
      <c r="B181" s="835" t="s">
        <v>163</v>
      </c>
      <c r="C181" s="835"/>
      <c r="D181" s="835"/>
      <c r="E181" s="835"/>
      <c r="F181" s="523"/>
      <c r="G181" s="523"/>
      <c r="H181" s="523"/>
      <c r="I181" s="523"/>
      <c r="J181" s="523"/>
      <c r="K181" s="523"/>
      <c r="L181" s="523"/>
      <c r="M181" s="523"/>
      <c r="N181" s="523"/>
    </row>
    <row r="182" spans="2:14" s="497" customFormat="1" ht="15" hidden="1" customHeight="1" x14ac:dyDescent="0.2">
      <c r="B182" s="523"/>
      <c r="C182" s="523"/>
      <c r="D182" s="523"/>
      <c r="E182" s="523"/>
      <c r="F182" s="523"/>
      <c r="G182" s="523"/>
      <c r="H182" s="523"/>
      <c r="I182" s="523"/>
      <c r="J182" s="523"/>
      <c r="K182" s="523"/>
      <c r="L182" s="523"/>
      <c r="M182" s="523"/>
      <c r="N182" s="523"/>
    </row>
    <row r="183" spans="2:14" s="497" customFormat="1" ht="19.5" hidden="1" customHeight="1" x14ac:dyDescent="0.2">
      <c r="B183" s="354" t="s">
        <v>225</v>
      </c>
      <c r="C183" s="355" t="e">
        <f>$H$74</f>
        <v>#DIV/0!</v>
      </c>
      <c r="D183" s="356"/>
      <c r="E183" s="356"/>
      <c r="F183" s="523"/>
      <c r="G183" s="523"/>
      <c r="H183" s="523"/>
      <c r="I183" s="523"/>
      <c r="J183" s="523"/>
      <c r="K183" s="523"/>
      <c r="L183" s="523"/>
      <c r="M183" s="523"/>
      <c r="N183" s="523"/>
    </row>
    <row r="184" spans="2:14" s="139" customFormat="1" ht="19.5" hidden="1" customHeight="1" x14ac:dyDescent="0.2">
      <c r="B184" s="354" t="s">
        <v>164</v>
      </c>
      <c r="C184" s="160" t="e">
        <f>ROUND((C183-(C186/100)*98)/(1-(C186/100)),2)</f>
        <v>#DIV/0!</v>
      </c>
      <c r="D184" s="356"/>
      <c r="E184" s="356"/>
      <c r="F184" s="507"/>
      <c r="G184" s="507"/>
      <c r="H184" s="507"/>
      <c r="I184" s="507"/>
      <c r="J184" s="507"/>
      <c r="K184" s="507"/>
      <c r="L184" s="507"/>
      <c r="M184" s="507"/>
      <c r="N184" s="507"/>
    </row>
    <row r="185" spans="2:14" s="139" customFormat="1" ht="19.5" hidden="1" customHeight="1" x14ac:dyDescent="0.2">
      <c r="B185" s="354" t="s">
        <v>165</v>
      </c>
      <c r="C185" s="357" t="e">
        <f>SUM(H25:K26)/SUM(H17:K26)</f>
        <v>#DIV/0!</v>
      </c>
      <c r="D185" s="358">
        <v>0.3</v>
      </c>
      <c r="E185" s="359"/>
      <c r="F185" s="507"/>
      <c r="G185" s="507"/>
      <c r="H185" s="507"/>
      <c r="I185" s="507"/>
      <c r="J185" s="507"/>
      <c r="K185" s="507"/>
      <c r="L185" s="507"/>
      <c r="M185" s="507"/>
      <c r="N185" s="507"/>
    </row>
    <row r="186" spans="2:14" s="139" customFormat="1" ht="34.5" hidden="1" customHeight="1" x14ac:dyDescent="0.2">
      <c r="B186" s="360" t="s">
        <v>317</v>
      </c>
      <c r="C186" s="357" t="e">
        <f>IF(C185&gt;D185,D185,C185)</f>
        <v>#DIV/0!</v>
      </c>
      <c r="D186" s="359"/>
      <c r="E186" s="359"/>
      <c r="F186" s="507"/>
      <c r="G186" s="507"/>
      <c r="H186" s="507"/>
      <c r="I186" s="507"/>
      <c r="J186" s="507"/>
      <c r="K186" s="507"/>
      <c r="L186" s="507"/>
      <c r="M186" s="507"/>
      <c r="N186" s="507"/>
    </row>
    <row r="187" spans="2:14" s="139" customFormat="1" ht="15" hidden="1" customHeight="1" x14ac:dyDescent="0.2">
      <c r="B187" s="354" t="s">
        <v>166</v>
      </c>
      <c r="C187" s="361" t="str">
        <f>IF(D76&gt;0,(D76/(SUM($H$25:$K$26))),"-")</f>
        <v>-</v>
      </c>
      <c r="D187" s="362"/>
      <c r="E187" s="362"/>
      <c r="F187" s="362"/>
      <c r="G187" s="362"/>
      <c r="H187" s="362"/>
      <c r="I187" s="362"/>
      <c r="J187" s="362"/>
      <c r="K187" s="506"/>
      <c r="L187" s="507"/>
      <c r="M187" s="507"/>
      <c r="N187" s="507"/>
    </row>
    <row r="188" spans="2:14" s="139" customFormat="1" ht="19.5" hidden="1" customHeight="1" x14ac:dyDescent="0.2">
      <c r="B188" s="354" t="s">
        <v>229</v>
      </c>
      <c r="C188" s="160" t="e">
        <f>ROUND(C184+((C186/100)*(98-C184)*(1-(0.5*C187))),2)</f>
        <v>#DIV/0!</v>
      </c>
      <c r="D188" s="507"/>
      <c r="E188" s="507"/>
      <c r="F188" s="507"/>
      <c r="G188" s="507"/>
      <c r="H188" s="507"/>
      <c r="I188" s="507"/>
      <c r="J188" s="507"/>
      <c r="K188" s="507"/>
      <c r="L188" s="507"/>
      <c r="M188" s="507"/>
      <c r="N188" s="507"/>
    </row>
    <row r="189" spans="2:14" s="497" customFormat="1" ht="15" hidden="1" customHeight="1" x14ac:dyDescent="0.2">
      <c r="B189" s="523"/>
      <c r="C189" s="523"/>
      <c r="D189" s="523"/>
      <c r="E189" s="523"/>
      <c r="F189" s="523"/>
      <c r="G189" s="523"/>
      <c r="H189" s="523"/>
      <c r="I189" s="523"/>
      <c r="J189" s="523"/>
      <c r="K189" s="523"/>
      <c r="L189" s="523"/>
      <c r="M189" s="523"/>
      <c r="N189" s="523"/>
    </row>
    <row r="190" spans="2:14" s="497" customFormat="1" ht="15" hidden="1" customHeight="1" x14ac:dyDescent="0.2">
      <c r="B190" s="523"/>
      <c r="C190" s="523"/>
      <c r="D190" s="523"/>
      <c r="E190" s="523"/>
      <c r="F190" s="523"/>
      <c r="G190" s="523"/>
      <c r="H190" s="523"/>
      <c r="I190" s="523"/>
      <c r="J190" s="523"/>
      <c r="K190" s="523"/>
      <c r="L190" s="523"/>
      <c r="M190" s="523"/>
      <c r="N190" s="523"/>
    </row>
    <row r="191" spans="2:14" s="497" customFormat="1" ht="30" hidden="1" customHeight="1" x14ac:dyDescent="0.2">
      <c r="B191" s="413" t="s">
        <v>402</v>
      </c>
      <c r="C191" s="361">
        <f>SUM($H$26:$K$26)</f>
        <v>0</v>
      </c>
      <c r="D191" s="523"/>
      <c r="E191" s="362"/>
      <c r="F191" s="362"/>
      <c r="G191" s="362"/>
      <c r="H191" s="362"/>
      <c r="I191" s="362"/>
      <c r="J191" s="362"/>
      <c r="K191" s="362"/>
      <c r="L191" s="523"/>
      <c r="M191" s="523"/>
      <c r="N191" s="523"/>
    </row>
    <row r="192" spans="2:14" s="497" customFormat="1" ht="15" hidden="1" customHeight="1" x14ac:dyDescent="0.2">
      <c r="B192" s="523"/>
      <c r="C192" s="523"/>
      <c r="D192" s="523"/>
      <c r="E192" s="523"/>
      <c r="F192" s="523"/>
      <c r="G192" s="523"/>
      <c r="H192" s="523"/>
      <c r="I192" s="523"/>
      <c r="J192" s="523"/>
      <c r="K192" s="523"/>
      <c r="L192" s="523"/>
      <c r="M192" s="523"/>
      <c r="N192" s="523"/>
    </row>
    <row r="193" spans="2:14" s="497" customFormat="1" ht="15" hidden="1" customHeight="1" x14ac:dyDescent="0.2">
      <c r="B193" s="523"/>
      <c r="C193" s="523"/>
      <c r="D193" s="523"/>
      <c r="E193" s="523"/>
      <c r="F193" s="523"/>
      <c r="G193" s="523"/>
      <c r="H193" s="523"/>
      <c r="I193" s="523"/>
      <c r="J193" s="523"/>
      <c r="K193" s="523"/>
      <c r="L193" s="523"/>
      <c r="M193" s="523"/>
      <c r="N193" s="523"/>
    </row>
    <row r="194" spans="2:14" s="497" customFormat="1" ht="15" hidden="1" customHeight="1" x14ac:dyDescent="0.2">
      <c r="B194" s="523"/>
      <c r="C194" s="523"/>
      <c r="D194" s="523"/>
      <c r="E194" s="523"/>
      <c r="F194" s="523"/>
      <c r="G194" s="523"/>
      <c r="H194" s="523"/>
      <c r="I194" s="523"/>
      <c r="J194" s="523"/>
      <c r="K194" s="523"/>
      <c r="L194" s="523"/>
      <c r="M194" s="523"/>
      <c r="N194" s="523"/>
    </row>
    <row r="195" spans="2:14" s="497" customFormat="1" ht="15.75" thickTop="1" x14ac:dyDescent="0.2">
      <c r="B195" s="737" t="s">
        <v>435</v>
      </c>
      <c r="C195" s="737"/>
      <c r="D195" s="737"/>
      <c r="E195" s="737"/>
      <c r="F195" s="737"/>
      <c r="G195" s="737"/>
      <c r="H195" s="737"/>
      <c r="I195" s="737"/>
      <c r="J195" s="737"/>
      <c r="K195" s="737"/>
      <c r="L195" s="507"/>
      <c r="M195" s="523"/>
      <c r="N195" s="523"/>
    </row>
    <row r="196" spans="2:14" x14ac:dyDescent="0.2">
      <c r="B196" s="737"/>
      <c r="C196" s="737"/>
      <c r="D196" s="737"/>
      <c r="E196" s="737"/>
      <c r="F196" s="737"/>
      <c r="G196" s="737"/>
      <c r="H196" s="737"/>
      <c r="I196" s="737"/>
      <c r="J196" s="737"/>
      <c r="K196" s="737"/>
      <c r="L196" s="507"/>
    </row>
    <row r="197" spans="2:14" ht="15.75" x14ac:dyDescent="0.2">
      <c r="B197" s="738" t="s">
        <v>436</v>
      </c>
      <c r="C197" s="738"/>
      <c r="D197" s="738"/>
      <c r="E197" s="738"/>
      <c r="F197" s="738"/>
      <c r="G197" s="738"/>
      <c r="H197" s="738"/>
      <c r="I197" s="738"/>
      <c r="J197" s="738"/>
      <c r="K197" s="738"/>
      <c r="L197" s="507"/>
    </row>
    <row r="198" spans="2:14" x14ac:dyDescent="0.2">
      <c r="B198" s="737" t="s">
        <v>437</v>
      </c>
      <c r="C198" s="737"/>
      <c r="D198" s="737"/>
      <c r="E198" s="737"/>
      <c r="F198" s="737"/>
      <c r="G198" s="737"/>
      <c r="H198" s="737"/>
      <c r="I198" s="737"/>
      <c r="J198" s="737"/>
      <c r="K198" s="737"/>
      <c r="L198" s="507"/>
    </row>
    <row r="199" spans="2:14" x14ac:dyDescent="0.2">
      <c r="B199" s="737"/>
      <c r="C199" s="737"/>
      <c r="D199" s="737"/>
      <c r="E199" s="737"/>
      <c r="F199" s="737"/>
      <c r="G199" s="737"/>
      <c r="H199" s="737"/>
      <c r="I199" s="737"/>
      <c r="J199" s="737"/>
      <c r="K199" s="737"/>
    </row>
    <row r="200" spans="2:14" x14ac:dyDescent="0.2">
      <c r="B200" s="507"/>
      <c r="C200" s="507"/>
      <c r="D200" s="507"/>
      <c r="E200" s="160"/>
      <c r="F200" s="160"/>
      <c r="G200" s="160"/>
      <c r="H200" s="507"/>
      <c r="I200" s="507"/>
      <c r="J200" s="507"/>
      <c r="K200" s="507"/>
    </row>
    <row r="201" spans="2:14" x14ac:dyDescent="0.2">
      <c r="B201" s="507"/>
      <c r="C201" s="507"/>
      <c r="D201" s="507"/>
      <c r="E201" s="160"/>
      <c r="F201" s="160"/>
      <c r="G201" s="160"/>
      <c r="H201" s="507"/>
      <c r="I201" s="507"/>
      <c r="J201" s="507"/>
      <c r="K201" s="507"/>
    </row>
    <row r="202" spans="2:14" x14ac:dyDescent="0.2">
      <c r="B202" s="507"/>
      <c r="C202" s="507"/>
      <c r="D202" s="507"/>
      <c r="E202" s="160"/>
      <c r="F202" s="160"/>
      <c r="G202" s="160"/>
      <c r="H202" s="507"/>
      <c r="I202" s="507"/>
      <c r="J202" s="507"/>
      <c r="K202" s="507"/>
    </row>
    <row r="203" spans="2:14" x14ac:dyDescent="0.2">
      <c r="B203" s="507"/>
      <c r="C203" s="507"/>
      <c r="D203" s="507"/>
      <c r="E203" s="160"/>
      <c r="F203" s="160"/>
      <c r="G203" s="160"/>
      <c r="H203" s="507"/>
      <c r="I203" s="507"/>
      <c r="J203" s="507"/>
      <c r="K203" s="507"/>
    </row>
    <row r="204" spans="2:14" x14ac:dyDescent="0.2">
      <c r="B204" s="507"/>
      <c r="C204" s="507"/>
      <c r="D204" s="507"/>
      <c r="E204" s="160"/>
      <c r="F204" s="160"/>
      <c r="G204" s="160"/>
      <c r="H204" s="507"/>
      <c r="I204" s="507"/>
      <c r="J204" s="507"/>
      <c r="K204" s="507"/>
    </row>
    <row r="205" spans="2:14" x14ac:dyDescent="0.2">
      <c r="B205" s="507"/>
      <c r="C205" s="507"/>
      <c r="D205" s="507"/>
      <c r="E205" s="160"/>
      <c r="F205" s="160"/>
      <c r="G205" s="160"/>
      <c r="H205" s="507"/>
      <c r="I205" s="507"/>
      <c r="J205" s="507"/>
      <c r="K205" s="507"/>
    </row>
    <row r="206" spans="2:14" x14ac:dyDescent="0.2">
      <c r="B206" s="507"/>
      <c r="C206" s="507"/>
      <c r="D206" s="507"/>
      <c r="E206" s="160"/>
      <c r="F206" s="160"/>
      <c r="G206" s="160"/>
      <c r="H206" s="507"/>
      <c r="I206" s="507"/>
      <c r="J206" s="507"/>
      <c r="K206" s="507"/>
    </row>
    <row r="207" spans="2:14" x14ac:dyDescent="0.2">
      <c r="B207" s="507"/>
      <c r="C207" s="507"/>
      <c r="D207" s="507"/>
      <c r="E207" s="160"/>
      <c r="F207" s="160"/>
      <c r="G207" s="160"/>
      <c r="H207" s="507"/>
      <c r="I207" s="507"/>
      <c r="J207" s="507"/>
      <c r="K207" s="507"/>
    </row>
    <row r="208" spans="2:14" x14ac:dyDescent="0.2">
      <c r="B208" s="507"/>
      <c r="C208" s="507"/>
      <c r="D208" s="507"/>
      <c r="E208" s="160"/>
      <c r="F208" s="160"/>
      <c r="G208" s="160"/>
      <c r="H208" s="507"/>
      <c r="I208" s="507"/>
      <c r="J208" s="507"/>
      <c r="K208" s="507"/>
    </row>
    <row r="209" spans="2:12" x14ac:dyDescent="0.2">
      <c r="B209" s="507"/>
      <c r="C209" s="507"/>
      <c r="D209" s="507"/>
      <c r="E209" s="160"/>
      <c r="F209" s="160"/>
      <c r="G209" s="160"/>
      <c r="H209" s="507"/>
      <c r="I209" s="507"/>
      <c r="J209" s="507"/>
      <c r="K209" s="507"/>
    </row>
    <row r="210" spans="2:12" s="507" customFormat="1" x14ac:dyDescent="0.2">
      <c r="E210" s="160"/>
      <c r="F210" s="160"/>
      <c r="G210" s="160"/>
      <c r="L210" s="160"/>
    </row>
    <row r="211" spans="2:12" s="507" customFormat="1" x14ac:dyDescent="0.2">
      <c r="E211" s="160"/>
      <c r="F211" s="160"/>
      <c r="G211" s="160"/>
      <c r="L211" s="160"/>
    </row>
    <row r="212" spans="2:12" s="507" customFormat="1" x14ac:dyDescent="0.2">
      <c r="E212" s="160"/>
      <c r="F212" s="160"/>
      <c r="G212" s="160"/>
      <c r="L212" s="160"/>
    </row>
    <row r="213" spans="2:12" s="507" customFormat="1" x14ac:dyDescent="0.2">
      <c r="E213" s="160"/>
      <c r="F213" s="160"/>
      <c r="G213" s="160"/>
      <c r="L213" s="160"/>
    </row>
    <row r="214" spans="2:12" s="507" customFormat="1" x14ac:dyDescent="0.2">
      <c r="E214" s="160"/>
      <c r="F214" s="160"/>
      <c r="G214" s="160"/>
      <c r="L214" s="160"/>
    </row>
    <row r="215" spans="2:12" s="507" customFormat="1" x14ac:dyDescent="0.2">
      <c r="E215" s="160"/>
      <c r="F215" s="160"/>
      <c r="G215" s="160"/>
      <c r="L215" s="160"/>
    </row>
    <row r="216" spans="2:12" s="507" customFormat="1" x14ac:dyDescent="0.2">
      <c r="E216" s="160"/>
      <c r="F216" s="160"/>
      <c r="G216" s="160"/>
      <c r="L216" s="160"/>
    </row>
    <row r="217" spans="2:12" s="507" customFormat="1" x14ac:dyDescent="0.2">
      <c r="E217" s="160"/>
      <c r="F217" s="160"/>
      <c r="G217" s="160"/>
      <c r="L217" s="160"/>
    </row>
    <row r="218" spans="2:12" s="507" customFormat="1" x14ac:dyDescent="0.2">
      <c r="E218" s="160"/>
      <c r="F218" s="160"/>
      <c r="G218" s="160"/>
      <c r="L218" s="160"/>
    </row>
    <row r="219" spans="2:12" s="507" customFormat="1" x14ac:dyDescent="0.2">
      <c r="E219" s="160"/>
      <c r="F219" s="160"/>
      <c r="G219" s="160"/>
      <c r="L219" s="160"/>
    </row>
    <row r="220" spans="2:12" s="507" customFormat="1" x14ac:dyDescent="0.2">
      <c r="E220" s="160"/>
      <c r="F220" s="160"/>
      <c r="G220" s="160"/>
      <c r="L220" s="160"/>
    </row>
    <row r="221" spans="2:12" s="507" customFormat="1" x14ac:dyDescent="0.2">
      <c r="E221" s="160"/>
      <c r="F221" s="160"/>
      <c r="G221" s="160"/>
      <c r="L221" s="160"/>
    </row>
    <row r="222" spans="2:12" s="507" customFormat="1" x14ac:dyDescent="0.2">
      <c r="E222" s="160"/>
      <c r="F222" s="160"/>
      <c r="G222" s="160"/>
      <c r="L222" s="160"/>
    </row>
    <row r="223" spans="2:12" s="507" customFormat="1" x14ac:dyDescent="0.2">
      <c r="E223" s="160"/>
      <c r="F223" s="160"/>
      <c r="G223" s="160"/>
      <c r="L223" s="160"/>
    </row>
    <row r="224" spans="2:12" s="507" customFormat="1" x14ac:dyDescent="0.2">
      <c r="E224" s="160"/>
      <c r="F224" s="160"/>
      <c r="G224" s="160"/>
      <c r="L224" s="160"/>
    </row>
    <row r="225" spans="5:12" s="507" customFormat="1" x14ac:dyDescent="0.2">
      <c r="E225" s="160"/>
      <c r="F225" s="160"/>
      <c r="G225" s="160"/>
      <c r="L225" s="160"/>
    </row>
    <row r="226" spans="5:12" s="507" customFormat="1" x14ac:dyDescent="0.2">
      <c r="E226" s="160"/>
      <c r="F226" s="160"/>
      <c r="G226" s="160"/>
      <c r="L226" s="160"/>
    </row>
    <row r="227" spans="5:12" s="507" customFormat="1" x14ac:dyDescent="0.2">
      <c r="E227" s="160"/>
      <c r="F227" s="160"/>
      <c r="G227" s="160"/>
      <c r="L227" s="160"/>
    </row>
    <row r="228" spans="5:12" s="507" customFormat="1" x14ac:dyDescent="0.2">
      <c r="E228" s="160"/>
      <c r="F228" s="160"/>
      <c r="G228" s="160"/>
      <c r="L228" s="160"/>
    </row>
    <row r="229" spans="5:12" s="507" customFormat="1" x14ac:dyDescent="0.2">
      <c r="E229" s="160"/>
      <c r="F229" s="160"/>
      <c r="G229" s="160"/>
      <c r="L229" s="160"/>
    </row>
    <row r="230" spans="5:12" s="507" customFormat="1" x14ac:dyDescent="0.2">
      <c r="E230" s="160"/>
      <c r="F230" s="160"/>
      <c r="G230" s="160"/>
      <c r="L230" s="160"/>
    </row>
    <row r="231" spans="5:12" s="507" customFormat="1" x14ac:dyDescent="0.2">
      <c r="E231" s="160"/>
      <c r="F231" s="160"/>
      <c r="G231" s="160"/>
      <c r="L231" s="160"/>
    </row>
    <row r="232" spans="5:12" s="507" customFormat="1" x14ac:dyDescent="0.2">
      <c r="E232" s="160"/>
      <c r="F232" s="160"/>
      <c r="G232" s="160"/>
      <c r="L232" s="160"/>
    </row>
    <row r="233" spans="5:12" s="507" customFormat="1" x14ac:dyDescent="0.2">
      <c r="E233" s="160"/>
      <c r="F233" s="160"/>
      <c r="G233" s="160"/>
      <c r="L233" s="160"/>
    </row>
    <row r="234" spans="5:12" s="507" customFormat="1" x14ac:dyDescent="0.2">
      <c r="E234" s="160"/>
      <c r="F234" s="160"/>
      <c r="G234" s="160"/>
      <c r="L234" s="160"/>
    </row>
    <row r="235" spans="5:12" s="507" customFormat="1" x14ac:dyDescent="0.2">
      <c r="E235" s="160"/>
      <c r="F235" s="160"/>
      <c r="G235" s="160"/>
      <c r="L235" s="160"/>
    </row>
    <row r="236" spans="5:12" s="507" customFormat="1" x14ac:dyDescent="0.2">
      <c r="E236" s="160"/>
      <c r="F236" s="160"/>
      <c r="G236" s="160"/>
      <c r="L236" s="160"/>
    </row>
    <row r="237" spans="5:12" s="507" customFormat="1" x14ac:dyDescent="0.2">
      <c r="E237" s="160"/>
      <c r="F237" s="160"/>
      <c r="G237" s="160"/>
      <c r="L237" s="160"/>
    </row>
    <row r="238" spans="5:12" s="507" customFormat="1" x14ac:dyDescent="0.2">
      <c r="E238" s="160"/>
      <c r="F238" s="160"/>
      <c r="G238" s="160"/>
      <c r="L238" s="160"/>
    </row>
    <row r="239" spans="5:12" s="507" customFormat="1" x14ac:dyDescent="0.2">
      <c r="E239" s="160"/>
      <c r="F239" s="160"/>
      <c r="G239" s="160"/>
      <c r="L239" s="160"/>
    </row>
    <row r="240" spans="5:12" s="507" customFormat="1" x14ac:dyDescent="0.2">
      <c r="E240" s="160"/>
      <c r="F240" s="160"/>
      <c r="G240" s="160"/>
      <c r="L240" s="160"/>
    </row>
    <row r="241" spans="5:12" s="507" customFormat="1" x14ac:dyDescent="0.2">
      <c r="E241" s="160"/>
      <c r="F241" s="160"/>
      <c r="G241" s="160"/>
      <c r="L241" s="160"/>
    </row>
    <row r="242" spans="5:12" s="507" customFormat="1" x14ac:dyDescent="0.2">
      <c r="E242" s="160"/>
      <c r="F242" s="160"/>
      <c r="G242" s="160"/>
      <c r="L242" s="160"/>
    </row>
    <row r="243" spans="5:12" s="507" customFormat="1" x14ac:dyDescent="0.2">
      <c r="E243" s="160"/>
      <c r="F243" s="160"/>
      <c r="G243" s="160"/>
      <c r="L243" s="160"/>
    </row>
    <row r="244" spans="5:12" s="507" customFormat="1" x14ac:dyDescent="0.2">
      <c r="E244" s="160"/>
      <c r="F244" s="160"/>
      <c r="G244" s="160"/>
      <c r="L244" s="160"/>
    </row>
  </sheetData>
  <sheetProtection password="E421" sheet="1" objects="1" scenarios="1"/>
  <mergeCells count="251">
    <mergeCell ref="B9:C9"/>
    <mergeCell ref="D9:G9"/>
    <mergeCell ref="H9:K9"/>
    <mergeCell ref="B10:C10"/>
    <mergeCell ref="D10:G10"/>
    <mergeCell ref="H10:K10"/>
    <mergeCell ref="B1:D1"/>
    <mergeCell ref="E1:K1"/>
    <mergeCell ref="B3:K3"/>
    <mergeCell ref="B4:K4"/>
    <mergeCell ref="B8:C8"/>
    <mergeCell ref="D8:G8"/>
    <mergeCell ref="H8:K8"/>
    <mergeCell ref="B14:C14"/>
    <mergeCell ref="D14:G14"/>
    <mergeCell ref="H14:K14"/>
    <mergeCell ref="B15:C15"/>
    <mergeCell ref="D15:G15"/>
    <mergeCell ref="H15:K15"/>
    <mergeCell ref="B11:C11"/>
    <mergeCell ref="D11:K11"/>
    <mergeCell ref="B12:C12"/>
    <mergeCell ref="D12:K12"/>
    <mergeCell ref="B13:C13"/>
    <mergeCell ref="D13:K13"/>
    <mergeCell ref="B25:C25"/>
    <mergeCell ref="B26:C26"/>
    <mergeCell ref="D27:G27"/>
    <mergeCell ref="H27:K27"/>
    <mergeCell ref="B28:C28"/>
    <mergeCell ref="D28:G28"/>
    <mergeCell ref="H28:K28"/>
    <mergeCell ref="B16:C16"/>
    <mergeCell ref="L16:L24"/>
    <mergeCell ref="B17:C17"/>
    <mergeCell ref="B18:C18"/>
    <mergeCell ref="B19:C19"/>
    <mergeCell ref="B20:C20"/>
    <mergeCell ref="B21:C21"/>
    <mergeCell ref="B22:C22"/>
    <mergeCell ref="B23:C23"/>
    <mergeCell ref="B24:C24"/>
    <mergeCell ref="H31:K31"/>
    <mergeCell ref="B32:C32"/>
    <mergeCell ref="D32:G32"/>
    <mergeCell ref="H32:K32"/>
    <mergeCell ref="B33:C33"/>
    <mergeCell ref="D33:G33"/>
    <mergeCell ref="H33:K33"/>
    <mergeCell ref="L28:L29"/>
    <mergeCell ref="B29:C29"/>
    <mergeCell ref="D29:G29"/>
    <mergeCell ref="H29:K29"/>
    <mergeCell ref="B30:C30"/>
    <mergeCell ref="D30:G30"/>
    <mergeCell ref="H30:K30"/>
    <mergeCell ref="L30:L33"/>
    <mergeCell ref="B31:C31"/>
    <mergeCell ref="D31:G31"/>
    <mergeCell ref="B37:C37"/>
    <mergeCell ref="D37:G37"/>
    <mergeCell ref="H37:K37"/>
    <mergeCell ref="B38:C38"/>
    <mergeCell ref="D38:G38"/>
    <mergeCell ref="H38:K38"/>
    <mergeCell ref="B34:C34"/>
    <mergeCell ref="B35:C35"/>
    <mergeCell ref="D35:G35"/>
    <mergeCell ref="H35:K35"/>
    <mergeCell ref="B36:C36"/>
    <mergeCell ref="D36:G36"/>
    <mergeCell ref="H36:K36"/>
    <mergeCell ref="B41:C41"/>
    <mergeCell ref="D41:G41"/>
    <mergeCell ref="H41:K41"/>
    <mergeCell ref="B42:C42"/>
    <mergeCell ref="D42:G42"/>
    <mergeCell ref="H42:K42"/>
    <mergeCell ref="L38:L39"/>
    <mergeCell ref="B39:C39"/>
    <mergeCell ref="D39:G39"/>
    <mergeCell ref="H39:K39"/>
    <mergeCell ref="B40:C40"/>
    <mergeCell ref="D40:G40"/>
    <mergeCell ref="H40:K40"/>
    <mergeCell ref="B45:C45"/>
    <mergeCell ref="D45:G45"/>
    <mergeCell ref="H45:K45"/>
    <mergeCell ref="B46:C46"/>
    <mergeCell ref="D46:G46"/>
    <mergeCell ref="H46:K46"/>
    <mergeCell ref="B43:C43"/>
    <mergeCell ref="D43:G43"/>
    <mergeCell ref="H43:K43"/>
    <mergeCell ref="B44:C44"/>
    <mergeCell ref="D44:G44"/>
    <mergeCell ref="H44:K44"/>
    <mergeCell ref="B50:C50"/>
    <mergeCell ref="D50:G50"/>
    <mergeCell ref="H50:K50"/>
    <mergeCell ref="B51:C51"/>
    <mergeCell ref="D51:G51"/>
    <mergeCell ref="H51:K51"/>
    <mergeCell ref="L46:L49"/>
    <mergeCell ref="B47:C47"/>
    <mergeCell ref="D47:G47"/>
    <mergeCell ref="H47:K47"/>
    <mergeCell ref="B48:C48"/>
    <mergeCell ref="D48:G48"/>
    <mergeCell ref="H48:K48"/>
    <mergeCell ref="B49:C49"/>
    <mergeCell ref="D49:G49"/>
    <mergeCell ref="H49:K49"/>
    <mergeCell ref="B54:C54"/>
    <mergeCell ref="D54:G54"/>
    <mergeCell ref="H54:K54"/>
    <mergeCell ref="B55:C55"/>
    <mergeCell ref="D55:G55"/>
    <mergeCell ref="H55:K55"/>
    <mergeCell ref="B52:C52"/>
    <mergeCell ref="D52:G52"/>
    <mergeCell ref="H52:K52"/>
    <mergeCell ref="B53:C53"/>
    <mergeCell ref="D53:G53"/>
    <mergeCell ref="H53:K53"/>
    <mergeCell ref="B56:C56"/>
    <mergeCell ref="D56:G56"/>
    <mergeCell ref="H56:K56"/>
    <mergeCell ref="L56:L59"/>
    <mergeCell ref="B57:C57"/>
    <mergeCell ref="D57:G57"/>
    <mergeCell ref="H57:K57"/>
    <mergeCell ref="B58:C58"/>
    <mergeCell ref="D58:G58"/>
    <mergeCell ref="H58:K58"/>
    <mergeCell ref="B61:C61"/>
    <mergeCell ref="D61:G61"/>
    <mergeCell ref="H61:K61"/>
    <mergeCell ref="B62:C62"/>
    <mergeCell ref="D62:G62"/>
    <mergeCell ref="H62:K62"/>
    <mergeCell ref="B59:C59"/>
    <mergeCell ref="D59:G59"/>
    <mergeCell ref="H59:K59"/>
    <mergeCell ref="B60:C60"/>
    <mergeCell ref="D60:G60"/>
    <mergeCell ref="H60:K60"/>
    <mergeCell ref="B65:C65"/>
    <mergeCell ref="D65:G65"/>
    <mergeCell ref="H65:K65"/>
    <mergeCell ref="B66:C66"/>
    <mergeCell ref="D66:G66"/>
    <mergeCell ref="H66:K66"/>
    <mergeCell ref="B63:C63"/>
    <mergeCell ref="D63:G63"/>
    <mergeCell ref="H63:K63"/>
    <mergeCell ref="B64:C64"/>
    <mergeCell ref="D64:G64"/>
    <mergeCell ref="H64:K64"/>
    <mergeCell ref="L66:L69"/>
    <mergeCell ref="B67:C67"/>
    <mergeCell ref="D67:G67"/>
    <mergeCell ref="H67:K67"/>
    <mergeCell ref="B68:C68"/>
    <mergeCell ref="D68:G68"/>
    <mergeCell ref="H68:K68"/>
    <mergeCell ref="B69:C69"/>
    <mergeCell ref="D69:G69"/>
    <mergeCell ref="H69:K69"/>
    <mergeCell ref="B73:C73"/>
    <mergeCell ref="D73:G73"/>
    <mergeCell ref="H73:K73"/>
    <mergeCell ref="B74:C74"/>
    <mergeCell ref="D74:G74"/>
    <mergeCell ref="H74:K74"/>
    <mergeCell ref="B70:C70"/>
    <mergeCell ref="D70:G70"/>
    <mergeCell ref="H70:K70"/>
    <mergeCell ref="D71:G71"/>
    <mergeCell ref="H71:K71"/>
    <mergeCell ref="B72:C72"/>
    <mergeCell ref="D72:G72"/>
    <mergeCell ref="H72:K72"/>
    <mergeCell ref="B79:C79"/>
    <mergeCell ref="D79:K79"/>
    <mergeCell ref="B80:C80"/>
    <mergeCell ref="D80:K80"/>
    <mergeCell ref="B81:C81"/>
    <mergeCell ref="B82:C82"/>
    <mergeCell ref="D82:G82"/>
    <mergeCell ref="H82:K82"/>
    <mergeCell ref="B75:C75"/>
    <mergeCell ref="B76:C76"/>
    <mergeCell ref="D76:K76"/>
    <mergeCell ref="B77:C77"/>
    <mergeCell ref="D77:K77"/>
    <mergeCell ref="B78:C78"/>
    <mergeCell ref="B86:C86"/>
    <mergeCell ref="B87:C87"/>
    <mergeCell ref="D87:G87"/>
    <mergeCell ref="H87:K87"/>
    <mergeCell ref="B88:C88"/>
    <mergeCell ref="D88:G88"/>
    <mergeCell ref="H88:K88"/>
    <mergeCell ref="B83:C83"/>
    <mergeCell ref="D83:G83"/>
    <mergeCell ref="H83:K83"/>
    <mergeCell ref="B84:C84"/>
    <mergeCell ref="D84:K84"/>
    <mergeCell ref="B85:C85"/>
    <mergeCell ref="D85:G85"/>
    <mergeCell ref="H85:K85"/>
    <mergeCell ref="B92:C92"/>
    <mergeCell ref="D92:G92"/>
    <mergeCell ref="H92:K92"/>
    <mergeCell ref="B93:C93"/>
    <mergeCell ref="D93:G93"/>
    <mergeCell ref="H93:K93"/>
    <mergeCell ref="B89:C89"/>
    <mergeCell ref="D89:G89"/>
    <mergeCell ref="H89:K89"/>
    <mergeCell ref="B90:C90"/>
    <mergeCell ref="B91:C91"/>
    <mergeCell ref="D91:G91"/>
    <mergeCell ref="H91:K91"/>
    <mergeCell ref="B115:C115"/>
    <mergeCell ref="B116:C116"/>
    <mergeCell ref="E122:N122"/>
    <mergeCell ref="E130:N130"/>
    <mergeCell ref="J139:M140"/>
    <mergeCell ref="B140:G141"/>
    <mergeCell ref="D94:K94"/>
    <mergeCell ref="B96:L96"/>
    <mergeCell ref="B98:I98"/>
    <mergeCell ref="E109:F109"/>
    <mergeCell ref="B112:C113"/>
    <mergeCell ref="E112:N112"/>
    <mergeCell ref="E113:N113"/>
    <mergeCell ref="B198:K199"/>
    <mergeCell ref="B178:E178"/>
    <mergeCell ref="B179:E179"/>
    <mergeCell ref="B180:E180"/>
    <mergeCell ref="B181:E181"/>
    <mergeCell ref="B195:K196"/>
    <mergeCell ref="B197:K197"/>
    <mergeCell ref="B147:G149"/>
    <mergeCell ref="I149:N151"/>
    <mergeCell ref="B163:F163"/>
    <mergeCell ref="B173:E174"/>
    <mergeCell ref="B176:E176"/>
    <mergeCell ref="B177:E177"/>
  </mergeCells>
  <conditionalFormatting sqref="H88 H81 D81 D76 D83:K84 E1:K1 D46:K49 D56:K59 D66:K69 H91:K92 D32:K33 D79:K79">
    <cfRule type="cellIs" dxfId="421" priority="19" operator="lessThan">
      <formula>0.00001</formula>
    </cfRule>
  </conditionalFormatting>
  <conditionalFormatting sqref="I94:I97 F123:K129 F99:F108 D142:G146 B93 G99:I111 J94:K111 F110:F111 F114:K121 D150:F162 H131:H195 G150:G195 F131:G139 D99:E139 D81:D92 D93:H97 E81:H83 I131:K137 B94:C94 D39:K39 D72:H78 L77 D33:K33 I73:K78 I81:K82 E92:L92 E85:K91 I93:K93 D164:F195 I160:K195">
    <cfRule type="containsErrors" dxfId="420" priority="12">
      <formula>ISERROR(B33)</formula>
    </cfRule>
  </conditionalFormatting>
  <conditionalFormatting sqref="H81 D81 D83:K84 D11:K13 D79:K79">
    <cfRule type="cellIs" dxfId="419" priority="17" operator="lessThan">
      <formula>0.0001</formula>
    </cfRule>
  </conditionalFormatting>
  <conditionalFormatting sqref="H88 H81 D81 D83:K84 D67:K69 D57:K59 H91:K92 D47:K49 D79:K79">
    <cfRule type="cellIs" priority="16" operator="lessThan">
      <formula>0.00001</formula>
    </cfRule>
  </conditionalFormatting>
  <conditionalFormatting sqref="H88 D11:K13 H91:K92">
    <cfRule type="cellIs" dxfId="418" priority="15" operator="lessThan">
      <formula>0.000001</formula>
    </cfRule>
  </conditionalFormatting>
  <conditionalFormatting sqref="D38:K39">
    <cfRule type="cellIs" dxfId="417" priority="14" operator="lessThan">
      <formula>0.00001</formula>
    </cfRule>
  </conditionalFormatting>
  <conditionalFormatting sqref="L92 L77">
    <cfRule type="cellIs" dxfId="416" priority="13" operator="greaterThan">
      <formula>$G$35</formula>
    </cfRule>
  </conditionalFormatting>
  <conditionalFormatting sqref="H85:K85">
    <cfRule type="cellIs" dxfId="415" priority="18" operator="greaterThan">
      <formula>$D$85</formula>
    </cfRule>
  </conditionalFormatting>
  <conditionalFormatting sqref="D80:K80">
    <cfRule type="cellIs" dxfId="414" priority="9" operator="lessThan">
      <formula>0.00001</formula>
    </cfRule>
  </conditionalFormatting>
  <conditionalFormatting sqref="D80:K80">
    <cfRule type="cellIs" dxfId="413" priority="8" operator="lessThan">
      <formula>0.0001</formula>
    </cfRule>
  </conditionalFormatting>
  <conditionalFormatting sqref="D80:K80">
    <cfRule type="cellIs" priority="7" operator="lessThan">
      <formula>0.00001</formula>
    </cfRule>
  </conditionalFormatting>
  <conditionalFormatting sqref="D80:K80">
    <cfRule type="cellIs" dxfId="412" priority="6" operator="lessThan">
      <formula>0.00001</formula>
    </cfRule>
  </conditionalFormatting>
  <conditionalFormatting sqref="D80:K80">
    <cfRule type="cellIs" dxfId="411" priority="5" operator="lessThan">
      <formula>0.0001</formula>
    </cfRule>
  </conditionalFormatting>
  <conditionalFormatting sqref="D80:K80">
    <cfRule type="cellIs" priority="4" operator="lessThan">
      <formula>0.00001</formula>
    </cfRule>
  </conditionalFormatting>
  <conditionalFormatting sqref="D80:K80">
    <cfRule type="cellIs" dxfId="410" priority="3" operator="lessThan">
      <formula>0.00001</formula>
    </cfRule>
  </conditionalFormatting>
  <conditionalFormatting sqref="D80:K80">
    <cfRule type="cellIs" dxfId="409" priority="2" operator="lessThan">
      <formula>0.0001</formula>
    </cfRule>
  </conditionalFormatting>
  <conditionalFormatting sqref="D80:K80">
    <cfRule type="cellIs" priority="1" operator="lessThan">
      <formula>0.00001</formula>
    </cfRule>
  </conditionalFormatting>
  <dataValidations count="3">
    <dataValidation type="list" allowBlank="1" showInputMessage="1" showErrorMessage="1" sqref="D45:K45 D55:K55 D65:K65" xr:uid="{00000000-0002-0000-0800-000000000000}">
      <formula1>$B$151:$B$156</formula1>
    </dataValidation>
    <dataValidation type="list" allowBlank="1" showInputMessage="1" showErrorMessage="1" sqref="D37:K37" xr:uid="{00000000-0002-0000-0800-000001000000}">
      <formula1>$B$159:$B$160</formula1>
    </dataValidation>
    <dataValidation type="list" allowBlank="1" showInputMessage="1" showErrorMessage="1" sqref="D31 H31" xr:uid="{00000000-0002-0000-0800-000002000000}">
      <formula1>$B$143:$B$145</formula1>
    </dataValidation>
  </dataValidations>
  <hyperlinks>
    <hyperlink ref="L12" location="PPT" display="From Site Data" xr:uid="{00000000-0004-0000-0800-000000000000}"/>
    <hyperlink ref="L38" location="VELOCITY" display="See Shallow Flow Calculations" xr:uid="{00000000-0004-0000-0800-000001000000}"/>
    <hyperlink ref="L46" location="mannings_channel" display="See Channel Flow" xr:uid="{00000000-0004-0000-0800-000002000000}"/>
    <hyperlink ref="L38:L39" location="SHALLOW" display="See Shallow Flow Calculations" xr:uid="{00000000-0004-0000-0800-000003000000}"/>
    <hyperlink ref="L46:L49" location="CHANNEL" display="See Open Channel Flow" xr:uid="{00000000-0004-0000-0800-000004000000}"/>
    <hyperlink ref="L56" location="mannings_channel" display="See Channel Flow" xr:uid="{00000000-0004-0000-0800-000005000000}"/>
    <hyperlink ref="L56:L59" location="CHANNEL" display="See Open Channel Flow" xr:uid="{00000000-0004-0000-0800-000006000000}"/>
    <hyperlink ref="L66" location="mannings_channel" display="See Channel Flow" xr:uid="{00000000-0004-0000-0800-000007000000}"/>
    <hyperlink ref="L66:L69" location="CHANNEL" display="See Open Channel Flow" xr:uid="{00000000-0004-0000-0800-000008000000}"/>
    <hyperlink ref="L30:L33" location="SHEET" display="See Sheet Flow Calculations" xr:uid="{00000000-0004-0000-0800-000009000000}"/>
    <hyperlink ref="L74" location="WCN" display="See Weighted Curve Number" xr:uid="{00000000-0004-0000-0800-00000A000000}"/>
    <hyperlink ref="L70" location="Tc" display="See Tc" xr:uid="{00000000-0004-0000-0800-00000B000000}"/>
    <hyperlink ref="L16:L24" location="WCN" display="See Weighted Curve Number" xr:uid="{00000000-0004-0000-0800-00000C000000}"/>
    <hyperlink ref="L82" location="SCS" display="See SCS Runoff Method" xr:uid="{00000000-0004-0000-0800-00000D000000}"/>
    <hyperlink ref="L79" location="hd" display="See Discrete Runoff Method" xr:uid="{00000000-0004-0000-0800-00000E000000}"/>
    <hyperlink ref="L87" location="SCS" display="See SCS Runoff Method" xr:uid="{00000000-0004-0000-0800-00000F000000}"/>
    <hyperlink ref="L91" location="SCS" display="See SCS Runoff Method" xr:uid="{00000000-0004-0000-0800-000010000000}"/>
    <hyperlink ref="L85" location="PEAK" display="See Peak Flow Calculations" xr:uid="{00000000-0004-0000-0800-000011000000}"/>
    <hyperlink ref="L89" location="PEAK" display="See Peak Flow Calculations" xr:uid="{00000000-0004-0000-0800-000012000000}"/>
    <hyperlink ref="L76" location="Disconnected" display="See Disconnected Impervious Calculation" xr:uid="{00000000-0004-0000-0800-000013000000}"/>
    <hyperlink ref="B195:K196" location="'DA2'!A1" display="CLICK TO ADD ANOTHER DRAINAGE AREA" xr:uid="{00000000-0004-0000-0800-000014000000}"/>
    <hyperlink ref="B198:K199" location="'SITE SUMMARY'!A1" display="CONTINUE TO SITE SUMMARY" xr:uid="{00000000-0004-0000-0800-000015000000}"/>
    <hyperlink ref="L80" location="hd" display="See Discrete Runoff Method" xr:uid="{00000000-0004-0000-0800-000016000000}"/>
  </hyperlinks>
  <printOptions horizontalCentered="1"/>
  <pageMargins left="0.7" right="0.7" top="0.75" bottom="0.75" header="0.3" footer="0.3"/>
  <pageSetup scale="54" fitToHeight="2" orientation="portrait" copies="5" r:id="rId1"/>
  <headerFooter>
    <oddFooter>&amp;A&amp;RPage &amp;P</oddFooter>
  </headerFooter>
  <rowBreaks count="1" manualBreakCount="1">
    <brk id="49" min="1" max="10"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AA244"/>
  <sheetViews>
    <sheetView showRowColHeaders="0" zoomScale="85" zoomScaleNormal="85" workbookViewId="0">
      <selection activeCell="D70" sqref="D70:K70"/>
    </sheetView>
  </sheetViews>
  <sheetFormatPr defaultRowHeight="15" x14ac:dyDescent="0.2"/>
  <cols>
    <col min="1" max="1" width="3.77734375" style="507" customWidth="1"/>
    <col min="2" max="2" width="25.6640625" style="161" customWidth="1"/>
    <col min="3" max="3" width="17.33203125" style="161" customWidth="1"/>
    <col min="4" max="4" width="8.6640625" style="161" customWidth="1"/>
    <col min="5" max="7" width="8.6640625" style="223" customWidth="1"/>
    <col min="8" max="11" width="8.6640625" style="161" customWidth="1"/>
    <col min="12" max="12" width="37.109375" style="160" bestFit="1" customWidth="1"/>
    <col min="13" max="27" width="8.88671875" style="507"/>
    <col min="28" max="16384" width="8.88671875" style="161"/>
  </cols>
  <sheetData>
    <row r="1" spans="2:12" ht="16.5" thickBot="1" x14ac:dyDescent="0.3">
      <c r="B1" s="787" t="s">
        <v>31</v>
      </c>
      <c r="C1" s="787"/>
      <c r="D1" s="787"/>
      <c r="E1" s="788">
        <f>'SITE DATA'!F9</f>
        <v>0</v>
      </c>
      <c r="F1" s="789"/>
      <c r="G1" s="789"/>
      <c r="H1" s="789"/>
      <c r="I1" s="789"/>
      <c r="J1" s="789"/>
      <c r="K1" s="790"/>
    </row>
    <row r="2" spans="2:12" x14ac:dyDescent="0.2">
      <c r="B2" s="507"/>
      <c r="C2" s="507"/>
      <c r="D2" s="507"/>
      <c r="E2" s="160"/>
      <c r="F2" s="160"/>
      <c r="G2" s="160"/>
      <c r="H2" s="507"/>
      <c r="I2" s="507"/>
      <c r="J2" s="507"/>
      <c r="K2" s="507"/>
    </row>
    <row r="3" spans="2:12" ht="18" x14ac:dyDescent="0.25">
      <c r="B3" s="797" t="s">
        <v>396</v>
      </c>
      <c r="C3" s="797"/>
      <c r="D3" s="797"/>
      <c r="E3" s="797"/>
      <c r="F3" s="797"/>
      <c r="G3" s="797"/>
      <c r="H3" s="797"/>
      <c r="I3" s="797"/>
      <c r="J3" s="797"/>
      <c r="K3" s="797"/>
      <c r="L3" s="162"/>
    </row>
    <row r="4" spans="2:12" ht="18" x14ac:dyDescent="0.25">
      <c r="B4" s="797" t="s">
        <v>8</v>
      </c>
      <c r="C4" s="797"/>
      <c r="D4" s="797"/>
      <c r="E4" s="797"/>
      <c r="F4" s="797"/>
      <c r="G4" s="797"/>
      <c r="H4" s="797"/>
      <c r="I4" s="797"/>
      <c r="J4" s="797"/>
      <c r="K4" s="797"/>
      <c r="L4" s="162"/>
    </row>
    <row r="5" spans="2:12" x14ac:dyDescent="0.2">
      <c r="B5" s="507"/>
      <c r="C5" s="507"/>
      <c r="D5" s="507"/>
      <c r="E5" s="160"/>
      <c r="F5" s="160"/>
      <c r="G5" s="160"/>
      <c r="H5" s="507"/>
      <c r="I5" s="507"/>
      <c r="J5" s="507"/>
      <c r="K5" s="507"/>
    </row>
    <row r="6" spans="2:12" x14ac:dyDescent="0.2">
      <c r="B6" s="507"/>
      <c r="C6" s="507"/>
      <c r="D6" s="507"/>
      <c r="E6" s="160"/>
      <c r="F6" s="160"/>
      <c r="G6" s="160"/>
      <c r="H6" s="507"/>
      <c r="I6" s="507"/>
      <c r="J6" s="507"/>
      <c r="K6" s="507"/>
    </row>
    <row r="7" spans="2:12" ht="15.75" thickBot="1" x14ac:dyDescent="0.25">
      <c r="B7" s="507"/>
      <c r="C7" s="507"/>
      <c r="D7" s="507"/>
      <c r="E7" s="160"/>
      <c r="F7" s="160"/>
      <c r="G7" s="160"/>
      <c r="H7" s="507"/>
      <c r="I7" s="507"/>
      <c r="J7" s="507"/>
      <c r="K7" s="507"/>
    </row>
    <row r="8" spans="2:12" ht="24.95" customHeight="1" thickTop="1" thickBot="1" x14ac:dyDescent="0.3">
      <c r="B8" s="801" t="s">
        <v>263</v>
      </c>
      <c r="C8" s="802"/>
      <c r="D8" s="798" t="s">
        <v>9</v>
      </c>
      <c r="E8" s="798"/>
      <c r="F8" s="798"/>
      <c r="G8" s="798"/>
      <c r="H8" s="798" t="s">
        <v>30</v>
      </c>
      <c r="I8" s="798"/>
      <c r="J8" s="798"/>
      <c r="K8" s="798"/>
      <c r="L8" s="238" t="s">
        <v>319</v>
      </c>
    </row>
    <row r="9" spans="2:12" ht="24.95" customHeight="1" thickTop="1" x14ac:dyDescent="0.2">
      <c r="B9" s="754" t="s">
        <v>92</v>
      </c>
      <c r="C9" s="791"/>
      <c r="D9" s="799"/>
      <c r="E9" s="725"/>
      <c r="F9" s="725"/>
      <c r="G9" s="800"/>
      <c r="H9" s="774"/>
      <c r="I9" s="775"/>
      <c r="J9" s="775"/>
      <c r="K9" s="776"/>
      <c r="L9" s="163" t="s">
        <v>486</v>
      </c>
    </row>
    <row r="10" spans="2:12" ht="24.95" customHeight="1" x14ac:dyDescent="0.2">
      <c r="B10" s="754" t="s">
        <v>93</v>
      </c>
      <c r="C10" s="791"/>
      <c r="D10" s="799"/>
      <c r="E10" s="725"/>
      <c r="F10" s="725"/>
      <c r="G10" s="800"/>
      <c r="H10" s="799"/>
      <c r="I10" s="725"/>
      <c r="J10" s="725"/>
      <c r="K10" s="800"/>
      <c r="L10" s="163"/>
    </row>
    <row r="11" spans="2:12" ht="24.95" customHeight="1" x14ac:dyDescent="0.2">
      <c r="B11" s="754" t="s">
        <v>226</v>
      </c>
      <c r="C11" s="791"/>
      <c r="D11" s="803">
        <f>'SITE DATA'!$F$26</f>
        <v>0</v>
      </c>
      <c r="E11" s="683"/>
      <c r="F11" s="683"/>
      <c r="G11" s="683"/>
      <c r="H11" s="683"/>
      <c r="I11" s="683"/>
      <c r="J11" s="683"/>
      <c r="K11" s="804"/>
      <c r="L11" s="566"/>
    </row>
    <row r="12" spans="2:12" ht="24.95" customHeight="1" x14ac:dyDescent="0.2">
      <c r="B12" s="754" t="s">
        <v>329</v>
      </c>
      <c r="C12" s="791"/>
      <c r="D12" s="803">
        <f>'SITE DATA'!$F$27</f>
        <v>0</v>
      </c>
      <c r="E12" s="683"/>
      <c r="F12" s="683"/>
      <c r="G12" s="683"/>
      <c r="H12" s="683"/>
      <c r="I12" s="683"/>
      <c r="J12" s="683"/>
      <c r="K12" s="804"/>
      <c r="L12" s="566" t="s">
        <v>266</v>
      </c>
    </row>
    <row r="13" spans="2:12" ht="24.95" customHeight="1" x14ac:dyDescent="0.2">
      <c r="B13" s="754" t="s">
        <v>375</v>
      </c>
      <c r="C13" s="791"/>
      <c r="D13" s="803">
        <f>'SITE DATA'!$F$28</f>
        <v>0</v>
      </c>
      <c r="E13" s="683"/>
      <c r="F13" s="683"/>
      <c r="G13" s="683"/>
      <c r="H13" s="683"/>
      <c r="I13" s="683"/>
      <c r="J13" s="683"/>
      <c r="K13" s="804"/>
      <c r="L13" s="566"/>
    </row>
    <row r="14" spans="2:12" ht="24.95" customHeight="1" x14ac:dyDescent="0.2">
      <c r="B14" s="754" t="s">
        <v>307</v>
      </c>
      <c r="C14" s="791"/>
      <c r="D14" s="792"/>
      <c r="E14" s="793"/>
      <c r="F14" s="793"/>
      <c r="G14" s="793"/>
      <c r="H14" s="793"/>
      <c r="I14" s="793"/>
      <c r="J14" s="793"/>
      <c r="K14" s="793"/>
      <c r="L14" s="163"/>
    </row>
    <row r="15" spans="2:12" ht="24.95" customHeight="1" x14ac:dyDescent="0.2">
      <c r="B15" s="754" t="s">
        <v>306</v>
      </c>
      <c r="C15" s="791"/>
      <c r="D15" s="793"/>
      <c r="E15" s="793"/>
      <c r="F15" s="793"/>
      <c r="G15" s="793"/>
      <c r="H15" s="793"/>
      <c r="I15" s="793"/>
      <c r="J15" s="793"/>
      <c r="K15" s="793"/>
      <c r="L15" s="163"/>
    </row>
    <row r="16" spans="2:12" ht="24.95" customHeight="1" x14ac:dyDescent="0.2">
      <c r="B16" s="784" t="s">
        <v>487</v>
      </c>
      <c r="C16" s="785"/>
      <c r="D16" s="429" t="s">
        <v>15</v>
      </c>
      <c r="E16" s="430" t="s">
        <v>16</v>
      </c>
      <c r="F16" s="430" t="s">
        <v>18</v>
      </c>
      <c r="G16" s="431" t="s">
        <v>17</v>
      </c>
      <c r="H16" s="432" t="s">
        <v>15</v>
      </c>
      <c r="I16" s="430" t="s">
        <v>16</v>
      </c>
      <c r="J16" s="430" t="s">
        <v>18</v>
      </c>
      <c r="K16" s="431" t="s">
        <v>17</v>
      </c>
      <c r="L16" s="766" t="s">
        <v>177</v>
      </c>
    </row>
    <row r="17" spans="2:12" ht="24.95" customHeight="1" x14ac:dyDescent="0.2">
      <c r="B17" s="754" t="s">
        <v>12</v>
      </c>
      <c r="C17" s="791"/>
      <c r="D17" s="428"/>
      <c r="E17" s="416"/>
      <c r="F17" s="416"/>
      <c r="G17" s="427"/>
      <c r="H17" s="428"/>
      <c r="I17" s="416"/>
      <c r="J17" s="416"/>
      <c r="K17" s="427"/>
      <c r="L17" s="766"/>
    </row>
    <row r="18" spans="2:12" ht="24.95" customHeight="1" x14ac:dyDescent="0.2">
      <c r="B18" s="754" t="s">
        <v>253</v>
      </c>
      <c r="C18" s="791"/>
      <c r="D18" s="428"/>
      <c r="E18" s="416"/>
      <c r="F18" s="416"/>
      <c r="G18" s="427"/>
      <c r="H18" s="428"/>
      <c r="I18" s="416"/>
      <c r="J18" s="416"/>
      <c r="K18" s="427"/>
      <c r="L18" s="766"/>
    </row>
    <row r="19" spans="2:12" ht="24.95" customHeight="1" x14ac:dyDescent="0.2">
      <c r="B19" s="754" t="s">
        <v>260</v>
      </c>
      <c r="C19" s="791"/>
      <c r="D19" s="428"/>
      <c r="E19" s="416"/>
      <c r="F19" s="416"/>
      <c r="G19" s="427"/>
      <c r="H19" s="428"/>
      <c r="I19" s="416"/>
      <c r="J19" s="416"/>
      <c r="K19" s="427"/>
      <c r="L19" s="766"/>
    </row>
    <row r="20" spans="2:12" ht="24.95" customHeight="1" x14ac:dyDescent="0.2">
      <c r="B20" s="754" t="s">
        <v>259</v>
      </c>
      <c r="C20" s="791"/>
      <c r="D20" s="428"/>
      <c r="E20" s="416"/>
      <c r="F20" s="416"/>
      <c r="G20" s="427"/>
      <c r="H20" s="428"/>
      <c r="I20" s="416"/>
      <c r="J20" s="416"/>
      <c r="K20" s="427"/>
      <c r="L20" s="766"/>
    </row>
    <row r="21" spans="2:12" ht="24.95" customHeight="1" x14ac:dyDescent="0.2">
      <c r="B21" s="754" t="s">
        <v>255</v>
      </c>
      <c r="C21" s="791"/>
      <c r="D21" s="428"/>
      <c r="E21" s="416"/>
      <c r="F21" s="416"/>
      <c r="G21" s="427"/>
      <c r="H21" s="428"/>
      <c r="I21" s="416"/>
      <c r="J21" s="416"/>
      <c r="K21" s="427"/>
      <c r="L21" s="766"/>
    </row>
    <row r="22" spans="2:12" ht="24.95" customHeight="1" x14ac:dyDescent="0.2">
      <c r="B22" s="754" t="s">
        <v>262</v>
      </c>
      <c r="C22" s="791"/>
      <c r="D22" s="428"/>
      <c r="E22" s="416"/>
      <c r="F22" s="416"/>
      <c r="G22" s="427"/>
      <c r="H22" s="428"/>
      <c r="I22" s="416"/>
      <c r="J22" s="416"/>
      <c r="K22" s="427"/>
      <c r="L22" s="766"/>
    </row>
    <row r="23" spans="2:12" ht="24.95" customHeight="1" x14ac:dyDescent="0.2">
      <c r="B23" s="754" t="s">
        <v>261</v>
      </c>
      <c r="C23" s="791"/>
      <c r="D23" s="428"/>
      <c r="E23" s="416"/>
      <c r="F23" s="416"/>
      <c r="G23" s="427"/>
      <c r="H23" s="428"/>
      <c r="I23" s="416"/>
      <c r="J23" s="416"/>
      <c r="K23" s="427"/>
      <c r="L23" s="766"/>
    </row>
    <row r="24" spans="2:12" ht="24.95" customHeight="1" x14ac:dyDescent="0.2">
      <c r="B24" s="754" t="s">
        <v>245</v>
      </c>
      <c r="C24" s="791"/>
      <c r="D24" s="428"/>
      <c r="E24" s="416"/>
      <c r="F24" s="416"/>
      <c r="G24" s="427"/>
      <c r="H24" s="428"/>
      <c r="I24" s="416"/>
      <c r="J24" s="416"/>
      <c r="K24" s="427"/>
      <c r="L24" s="766"/>
    </row>
    <row r="25" spans="2:12" ht="24.95" customHeight="1" x14ac:dyDescent="0.25">
      <c r="B25" s="754" t="s">
        <v>369</v>
      </c>
      <c r="C25" s="791"/>
      <c r="D25" s="428"/>
      <c r="E25" s="416"/>
      <c r="F25" s="416"/>
      <c r="G25" s="427"/>
      <c r="H25" s="428"/>
      <c r="I25" s="416"/>
      <c r="J25" s="416"/>
      <c r="K25" s="427"/>
      <c r="L25" s="417"/>
    </row>
    <row r="26" spans="2:12" ht="24.95" customHeight="1" thickBot="1" x14ac:dyDescent="0.3">
      <c r="B26" s="830" t="s">
        <v>368</v>
      </c>
      <c r="C26" s="831"/>
      <c r="D26" s="433"/>
      <c r="E26" s="434"/>
      <c r="F26" s="434"/>
      <c r="G26" s="435"/>
      <c r="H26" s="433"/>
      <c r="I26" s="434"/>
      <c r="J26" s="434"/>
      <c r="K26" s="435"/>
      <c r="L26" s="417" t="str">
        <f>IF(OR(SUM($H$17:$K$26)&gt;$H$10,SUM($H$17:$K$26)&lt;$H$10),"LAND USE MUST MATCH SITE ACREAGE","")</f>
        <v/>
      </c>
    </row>
    <row r="27" spans="2:12" ht="24.95" customHeight="1" thickTop="1" thickBot="1" x14ac:dyDescent="0.25">
      <c r="B27" s="443" t="s">
        <v>264</v>
      </c>
      <c r="C27" s="444"/>
      <c r="D27" s="805" t="s">
        <v>56</v>
      </c>
      <c r="E27" s="805"/>
      <c r="F27" s="805"/>
      <c r="G27" s="805"/>
      <c r="H27" s="805" t="s">
        <v>57</v>
      </c>
      <c r="I27" s="805"/>
      <c r="J27" s="805"/>
      <c r="K27" s="805"/>
      <c r="L27" s="418"/>
    </row>
    <row r="28" spans="2:12" ht="24.95" customHeight="1" thickTop="1" x14ac:dyDescent="0.2">
      <c r="B28" s="795" t="s">
        <v>404</v>
      </c>
      <c r="C28" s="796"/>
      <c r="D28" s="794"/>
      <c r="E28" s="794"/>
      <c r="F28" s="794"/>
      <c r="G28" s="794"/>
      <c r="H28" s="794"/>
      <c r="I28" s="794"/>
      <c r="J28" s="794"/>
      <c r="K28" s="794"/>
      <c r="L28" s="736"/>
    </row>
    <row r="29" spans="2:12" ht="24.95" customHeight="1" x14ac:dyDescent="0.2">
      <c r="B29" s="770" t="s">
        <v>87</v>
      </c>
      <c r="C29" s="771"/>
      <c r="D29" s="774"/>
      <c r="E29" s="775"/>
      <c r="F29" s="775"/>
      <c r="G29" s="776"/>
      <c r="H29" s="774"/>
      <c r="I29" s="775"/>
      <c r="J29" s="775"/>
      <c r="K29" s="776"/>
      <c r="L29" s="736"/>
    </row>
    <row r="30" spans="2:12" ht="24.95" customHeight="1" x14ac:dyDescent="0.2">
      <c r="B30" s="770" t="s">
        <v>88</v>
      </c>
      <c r="C30" s="771"/>
      <c r="D30" s="777"/>
      <c r="E30" s="778"/>
      <c r="F30" s="778"/>
      <c r="G30" s="779"/>
      <c r="H30" s="777"/>
      <c r="I30" s="778"/>
      <c r="J30" s="778"/>
      <c r="K30" s="779"/>
      <c r="L30" s="766" t="s">
        <v>95</v>
      </c>
    </row>
    <row r="31" spans="2:12" ht="24.95" customHeight="1" x14ac:dyDescent="0.2">
      <c r="B31" s="770" t="s">
        <v>60</v>
      </c>
      <c r="C31" s="771"/>
      <c r="D31" s="774"/>
      <c r="E31" s="775"/>
      <c r="F31" s="775"/>
      <c r="G31" s="776"/>
      <c r="H31" s="774"/>
      <c r="I31" s="775"/>
      <c r="J31" s="775"/>
      <c r="K31" s="776"/>
      <c r="L31" s="766"/>
    </row>
    <row r="32" spans="2:12" ht="24.95" customHeight="1" x14ac:dyDescent="0.2">
      <c r="B32" s="781" t="s">
        <v>86</v>
      </c>
      <c r="C32" s="782"/>
      <c r="D32" s="769" t="str">
        <f>IF(D31=$B$143,$G$143,IF(D31=$B$144,$G$144,IF(D31=$B$145,$G$145,"")))</f>
        <v/>
      </c>
      <c r="E32" s="769"/>
      <c r="F32" s="769"/>
      <c r="G32" s="769"/>
      <c r="H32" s="769" t="str">
        <f>IF(H31=$B$143,$G$143,IF(H31=$B$144,$G$144,IF(H31=$B$145,$G$145,"")))</f>
        <v/>
      </c>
      <c r="I32" s="769"/>
      <c r="J32" s="769"/>
      <c r="K32" s="769"/>
      <c r="L32" s="766"/>
    </row>
    <row r="33" spans="2:12" ht="24.95" customHeight="1" x14ac:dyDescent="0.2">
      <c r="B33" s="770" t="s">
        <v>89</v>
      </c>
      <c r="C33" s="780"/>
      <c r="D33" s="769">
        <f>IF(D29&gt;0,(0.007*(D32*D29)^0.8)/(($D$11^0.5)*(D30^0.4)),0)</f>
        <v>0</v>
      </c>
      <c r="E33" s="769"/>
      <c r="F33" s="769"/>
      <c r="G33" s="769"/>
      <c r="H33" s="769">
        <f>IF(H29&gt;0,(0.007*(H32*H29)^0.8)/(($D$11^0.5)*(H30^0.4)),0)</f>
        <v>0</v>
      </c>
      <c r="I33" s="769"/>
      <c r="J33" s="769"/>
      <c r="K33" s="769"/>
      <c r="L33" s="766"/>
    </row>
    <row r="34" spans="2:12" ht="24.95" customHeight="1" x14ac:dyDescent="0.2">
      <c r="B34" s="795" t="s">
        <v>405</v>
      </c>
      <c r="C34" s="796"/>
      <c r="D34" s="570"/>
      <c r="E34" s="570"/>
      <c r="F34" s="570"/>
      <c r="G34" s="570"/>
      <c r="H34" s="570"/>
      <c r="I34" s="570"/>
      <c r="J34" s="570"/>
      <c r="K34" s="571"/>
      <c r="L34" s="419"/>
    </row>
    <row r="35" spans="2:12" ht="24.95" customHeight="1" x14ac:dyDescent="0.2">
      <c r="B35" s="770" t="s">
        <v>87</v>
      </c>
      <c r="C35" s="771"/>
      <c r="D35" s="774"/>
      <c r="E35" s="775"/>
      <c r="F35" s="775"/>
      <c r="G35" s="776"/>
      <c r="H35" s="774"/>
      <c r="I35" s="775"/>
      <c r="J35" s="775"/>
      <c r="K35" s="776"/>
      <c r="L35" s="163"/>
    </row>
    <row r="36" spans="2:12" ht="24.95" customHeight="1" x14ac:dyDescent="0.2">
      <c r="B36" s="770" t="s">
        <v>88</v>
      </c>
      <c r="C36" s="771"/>
      <c r="D36" s="777"/>
      <c r="E36" s="778"/>
      <c r="F36" s="778"/>
      <c r="G36" s="779"/>
      <c r="H36" s="777"/>
      <c r="I36" s="778"/>
      <c r="J36" s="778"/>
      <c r="K36" s="779"/>
      <c r="L36" s="163"/>
    </row>
    <row r="37" spans="2:12" ht="24.95" customHeight="1" x14ac:dyDescent="0.2">
      <c r="B37" s="770" t="s">
        <v>60</v>
      </c>
      <c r="C37" s="771"/>
      <c r="D37" s="774"/>
      <c r="E37" s="775"/>
      <c r="F37" s="775"/>
      <c r="G37" s="776"/>
      <c r="H37" s="774"/>
      <c r="I37" s="775"/>
      <c r="J37" s="775"/>
      <c r="K37" s="776"/>
      <c r="L37" s="163"/>
    </row>
    <row r="38" spans="2:12" ht="24.95" customHeight="1" x14ac:dyDescent="0.2">
      <c r="B38" s="781" t="s">
        <v>96</v>
      </c>
      <c r="C38" s="782"/>
      <c r="D38" s="783">
        <f>IF(D37="Unpaved",16.1345*D36^0.5,IF(D37="Paved",20.32828*D36^0.5,0))</f>
        <v>0</v>
      </c>
      <c r="E38" s="783"/>
      <c r="F38" s="783"/>
      <c r="G38" s="783"/>
      <c r="H38" s="783">
        <f>IF(H37="Unpaved",16.1345*H36^0.5,IF(H37="Paved",20.32828*H36^0.5,0))</f>
        <v>0</v>
      </c>
      <c r="I38" s="783"/>
      <c r="J38" s="783"/>
      <c r="K38" s="783"/>
      <c r="L38" s="766" t="s">
        <v>131</v>
      </c>
    </row>
    <row r="39" spans="2:12" ht="24.95" customHeight="1" x14ac:dyDescent="0.2">
      <c r="B39" s="770" t="s">
        <v>89</v>
      </c>
      <c r="C39" s="780"/>
      <c r="D39" s="783">
        <f>IF(D38&gt;0,D35/(3600*D38),0)</f>
        <v>0</v>
      </c>
      <c r="E39" s="783"/>
      <c r="F39" s="783"/>
      <c r="G39" s="783"/>
      <c r="H39" s="783">
        <f>IF(H38&gt;0,H35/(3600*H38),0)</f>
        <v>0</v>
      </c>
      <c r="I39" s="783"/>
      <c r="J39" s="783"/>
      <c r="K39" s="783"/>
      <c r="L39" s="766"/>
    </row>
    <row r="40" spans="2:12" ht="24.95" customHeight="1" x14ac:dyDescent="0.2">
      <c r="B40" s="784" t="s">
        <v>406</v>
      </c>
      <c r="C40" s="785"/>
      <c r="D40" s="772"/>
      <c r="E40" s="772"/>
      <c r="F40" s="772"/>
      <c r="G40" s="772"/>
      <c r="H40" s="772"/>
      <c r="I40" s="772"/>
      <c r="J40" s="772"/>
      <c r="K40" s="773"/>
      <c r="L40" s="163"/>
    </row>
    <row r="41" spans="2:12" ht="24.95" customHeight="1" x14ac:dyDescent="0.2">
      <c r="B41" s="770" t="s">
        <v>87</v>
      </c>
      <c r="C41" s="771"/>
      <c r="D41" s="739"/>
      <c r="E41" s="739"/>
      <c r="F41" s="739"/>
      <c r="G41" s="739"/>
      <c r="H41" s="774"/>
      <c r="I41" s="775"/>
      <c r="J41" s="775"/>
      <c r="K41" s="776"/>
      <c r="L41" s="163"/>
    </row>
    <row r="42" spans="2:12" ht="24.95" customHeight="1" x14ac:dyDescent="0.2">
      <c r="B42" s="770" t="s">
        <v>88</v>
      </c>
      <c r="C42" s="771"/>
      <c r="D42" s="786"/>
      <c r="E42" s="786"/>
      <c r="F42" s="786"/>
      <c r="G42" s="786"/>
      <c r="H42" s="777"/>
      <c r="I42" s="778"/>
      <c r="J42" s="778"/>
      <c r="K42" s="779"/>
      <c r="L42" s="163"/>
    </row>
    <row r="43" spans="2:12" ht="24.95" customHeight="1" x14ac:dyDescent="0.2">
      <c r="B43" s="770" t="s">
        <v>108</v>
      </c>
      <c r="C43" s="771"/>
      <c r="D43" s="739"/>
      <c r="E43" s="739"/>
      <c r="F43" s="739"/>
      <c r="G43" s="739"/>
      <c r="H43" s="774"/>
      <c r="I43" s="775"/>
      <c r="J43" s="775"/>
      <c r="K43" s="776"/>
      <c r="L43" s="163"/>
    </row>
    <row r="44" spans="2:12" ht="24.95" customHeight="1" x14ac:dyDescent="0.2">
      <c r="B44" s="767" t="s">
        <v>90</v>
      </c>
      <c r="C44" s="768"/>
      <c r="D44" s="739"/>
      <c r="E44" s="739"/>
      <c r="F44" s="739"/>
      <c r="G44" s="739"/>
      <c r="H44" s="774"/>
      <c r="I44" s="775"/>
      <c r="J44" s="775"/>
      <c r="K44" s="776"/>
      <c r="L44" s="163"/>
    </row>
    <row r="45" spans="2:12" ht="24.95" customHeight="1" x14ac:dyDescent="0.2">
      <c r="B45" s="770" t="s">
        <v>116</v>
      </c>
      <c r="C45" s="771"/>
      <c r="D45" s="739"/>
      <c r="E45" s="739"/>
      <c r="F45" s="739"/>
      <c r="G45" s="739"/>
      <c r="H45" s="774"/>
      <c r="I45" s="775"/>
      <c r="J45" s="775"/>
      <c r="K45" s="776"/>
      <c r="L45" s="163"/>
    </row>
    <row r="46" spans="2:12" ht="24.95" customHeight="1" x14ac:dyDescent="0.2">
      <c r="B46" s="781" t="s">
        <v>86</v>
      </c>
      <c r="C46" s="782"/>
      <c r="D46" s="769" t="str">
        <f>IF(D45="Asphalt",$G$151,IF(D45="Concrete, finished",$G$152,IF(D45="Concrete, unfinished",$G$153,IF(D45="Grass",$G$154,IF(D45="Gravel Bottom/riprap sides",$G$155,IF(D45="Weeds",$G$156,""))))))</f>
        <v/>
      </c>
      <c r="E46" s="769"/>
      <c r="F46" s="769"/>
      <c r="G46" s="769"/>
      <c r="H46" s="769" t="str">
        <f>IF(H45="Asphalt",$G$151,IF(H45="Concrete, finished",$G$152,IF(H45="Concrete, unfinished",$G$153,IF(H45="Grass",$G$154,IF(H45="Gravel Bottom/riprap sides",$G$155,IF(H45="Weeds",$G$156,""))))))</f>
        <v/>
      </c>
      <c r="I46" s="769"/>
      <c r="J46" s="769"/>
      <c r="K46" s="769"/>
      <c r="L46" s="766" t="s">
        <v>174</v>
      </c>
    </row>
    <row r="47" spans="2:12" ht="24.95" customHeight="1" x14ac:dyDescent="0.2">
      <c r="B47" s="781" t="s">
        <v>109</v>
      </c>
      <c r="C47" s="782"/>
      <c r="D47" s="783">
        <f>IF(ISERROR(D43/D44),0,D43/D44)</f>
        <v>0</v>
      </c>
      <c r="E47" s="783"/>
      <c r="F47" s="783"/>
      <c r="G47" s="783"/>
      <c r="H47" s="783">
        <f>IF(ISERROR(H43/H44),0,H43/H44)</f>
        <v>0</v>
      </c>
      <c r="I47" s="783"/>
      <c r="J47" s="783"/>
      <c r="K47" s="783"/>
      <c r="L47" s="766"/>
    </row>
    <row r="48" spans="2:12" ht="24.95" customHeight="1" x14ac:dyDescent="0.2">
      <c r="B48" s="781" t="s">
        <v>96</v>
      </c>
      <c r="C48" s="782"/>
      <c r="D48" s="783">
        <f>IF(D44&gt;0,(1.49*(D47^(2/3))*(D42^0.5))/D46,0)</f>
        <v>0</v>
      </c>
      <c r="E48" s="783"/>
      <c r="F48" s="783"/>
      <c r="G48" s="783"/>
      <c r="H48" s="783">
        <f>IF(H44&gt;0,(1.49*(H47^(2/3))*(H42^0.5))/H46,0)</f>
        <v>0</v>
      </c>
      <c r="I48" s="783"/>
      <c r="J48" s="783"/>
      <c r="K48" s="783"/>
      <c r="L48" s="766"/>
    </row>
    <row r="49" spans="2:12" ht="24.95" customHeight="1" x14ac:dyDescent="0.2">
      <c r="B49" s="770" t="s">
        <v>89</v>
      </c>
      <c r="C49" s="780"/>
      <c r="D49" s="783">
        <f>IF(D44&gt;0,D41/(3600*D48),0)</f>
        <v>0</v>
      </c>
      <c r="E49" s="783"/>
      <c r="F49" s="783"/>
      <c r="G49" s="783"/>
      <c r="H49" s="783">
        <f>IF(H44&gt;0,H41/(3600*H48),0)</f>
        <v>0</v>
      </c>
      <c r="I49" s="783"/>
      <c r="J49" s="783"/>
      <c r="K49" s="783"/>
      <c r="L49" s="766"/>
    </row>
    <row r="50" spans="2:12" ht="24.95" customHeight="1" x14ac:dyDescent="0.2">
      <c r="B50" s="784" t="s">
        <v>407</v>
      </c>
      <c r="C50" s="785"/>
      <c r="D50" s="772"/>
      <c r="E50" s="772"/>
      <c r="F50" s="772"/>
      <c r="G50" s="772"/>
      <c r="H50" s="772"/>
      <c r="I50" s="772"/>
      <c r="J50" s="772"/>
      <c r="K50" s="773"/>
      <c r="L50" s="163"/>
    </row>
    <row r="51" spans="2:12" ht="24.95" customHeight="1" x14ac:dyDescent="0.2">
      <c r="B51" s="770" t="s">
        <v>87</v>
      </c>
      <c r="C51" s="771"/>
      <c r="D51" s="739"/>
      <c r="E51" s="739"/>
      <c r="F51" s="739"/>
      <c r="G51" s="739"/>
      <c r="H51" s="739"/>
      <c r="I51" s="739"/>
      <c r="J51" s="739"/>
      <c r="K51" s="739"/>
      <c r="L51" s="163"/>
    </row>
    <row r="52" spans="2:12" ht="24.95" customHeight="1" x14ac:dyDescent="0.2">
      <c r="B52" s="770" t="s">
        <v>88</v>
      </c>
      <c r="C52" s="771"/>
      <c r="D52" s="786"/>
      <c r="E52" s="786"/>
      <c r="F52" s="786"/>
      <c r="G52" s="786"/>
      <c r="H52" s="786"/>
      <c r="I52" s="786"/>
      <c r="J52" s="786"/>
      <c r="K52" s="786"/>
      <c r="L52" s="163"/>
    </row>
    <row r="53" spans="2:12" ht="24.95" customHeight="1" x14ac:dyDescent="0.2">
      <c r="B53" s="770" t="s">
        <v>108</v>
      </c>
      <c r="C53" s="771"/>
      <c r="D53" s="739"/>
      <c r="E53" s="739"/>
      <c r="F53" s="739"/>
      <c r="G53" s="739"/>
      <c r="H53" s="739"/>
      <c r="I53" s="739"/>
      <c r="J53" s="739"/>
      <c r="K53" s="739"/>
      <c r="L53" s="163"/>
    </row>
    <row r="54" spans="2:12" ht="24.95" customHeight="1" x14ac:dyDescent="0.2">
      <c r="B54" s="767" t="s">
        <v>90</v>
      </c>
      <c r="C54" s="768"/>
      <c r="D54" s="739"/>
      <c r="E54" s="739"/>
      <c r="F54" s="739"/>
      <c r="G54" s="739"/>
      <c r="H54" s="739"/>
      <c r="I54" s="739"/>
      <c r="J54" s="739"/>
      <c r="K54" s="739"/>
      <c r="L54" s="163"/>
    </row>
    <row r="55" spans="2:12" ht="24.95" customHeight="1" x14ac:dyDescent="0.2">
      <c r="B55" s="770" t="s">
        <v>116</v>
      </c>
      <c r="C55" s="771"/>
      <c r="D55" s="739"/>
      <c r="E55" s="739"/>
      <c r="F55" s="739"/>
      <c r="G55" s="739"/>
      <c r="H55" s="739"/>
      <c r="I55" s="739"/>
      <c r="J55" s="739"/>
      <c r="K55" s="739"/>
      <c r="L55" s="163"/>
    </row>
    <row r="56" spans="2:12" ht="24.95" customHeight="1" x14ac:dyDescent="0.2">
      <c r="B56" s="781" t="s">
        <v>86</v>
      </c>
      <c r="C56" s="782"/>
      <c r="D56" s="769" t="str">
        <f>IF(D55="Asphalt",$G$151,IF(D55="Concrete, finished",$G$152,IF(D55="Concrete, unfinished",$G$153,IF(D55="Grass",$G$154,IF(D55="Gravel Bottom/riprap sides",$G$155,IF(D55="Weeds",$G$156,""))))))</f>
        <v/>
      </c>
      <c r="E56" s="769"/>
      <c r="F56" s="769"/>
      <c r="G56" s="769"/>
      <c r="H56" s="769" t="str">
        <f>IF(H55="Asphalt",$G$151,IF(H55="Concrete, finished",$G$152,IF(H55="Concrete, unfinished",$G$153,IF(H55="Grass",$G$154,IF(H55="Gravel Bottom/riprap sides",$G$155,IF(H55="Weeds",$G$156,""))))))</f>
        <v/>
      </c>
      <c r="I56" s="769"/>
      <c r="J56" s="769"/>
      <c r="K56" s="769"/>
      <c r="L56" s="766" t="s">
        <v>174</v>
      </c>
    </row>
    <row r="57" spans="2:12" ht="24.95" customHeight="1" x14ac:dyDescent="0.2">
      <c r="B57" s="781" t="s">
        <v>109</v>
      </c>
      <c r="C57" s="782"/>
      <c r="D57" s="783">
        <f>IF(ISERROR(D53/D54),0,D53/D54)</f>
        <v>0</v>
      </c>
      <c r="E57" s="783"/>
      <c r="F57" s="783"/>
      <c r="G57" s="783"/>
      <c r="H57" s="783">
        <f>IF(ISERROR(H53/H54),0,H53/H54)</f>
        <v>0</v>
      </c>
      <c r="I57" s="783"/>
      <c r="J57" s="783"/>
      <c r="K57" s="783"/>
      <c r="L57" s="766"/>
    </row>
    <row r="58" spans="2:12" ht="24.95" customHeight="1" x14ac:dyDescent="0.2">
      <c r="B58" s="781" t="s">
        <v>96</v>
      </c>
      <c r="C58" s="782"/>
      <c r="D58" s="783">
        <f>IF(D54&gt;0,(1.49*(D57^(2/3))*(D52^0.5))/D56,0)</f>
        <v>0</v>
      </c>
      <c r="E58" s="783"/>
      <c r="F58" s="783"/>
      <c r="G58" s="783"/>
      <c r="H58" s="783">
        <f>IF(H54&gt;0,(1.49*(H57^(2/3))*(H52^0.5))/H56,0)</f>
        <v>0</v>
      </c>
      <c r="I58" s="783"/>
      <c r="J58" s="783"/>
      <c r="K58" s="783"/>
      <c r="L58" s="766"/>
    </row>
    <row r="59" spans="2:12" ht="24.95" customHeight="1" x14ac:dyDescent="0.2">
      <c r="B59" s="770" t="s">
        <v>89</v>
      </c>
      <c r="C59" s="780"/>
      <c r="D59" s="783">
        <f>IF(D54&gt;0,D51/(3600*D58),0)</f>
        <v>0</v>
      </c>
      <c r="E59" s="783"/>
      <c r="F59" s="783"/>
      <c r="G59" s="783"/>
      <c r="H59" s="783">
        <f>IF(H54&gt;0,H51/(3600*H58),0)</f>
        <v>0</v>
      </c>
      <c r="I59" s="783"/>
      <c r="J59" s="783"/>
      <c r="K59" s="783"/>
      <c r="L59" s="766"/>
    </row>
    <row r="60" spans="2:12" ht="24.95" customHeight="1" x14ac:dyDescent="0.2">
      <c r="B60" s="784" t="s">
        <v>408</v>
      </c>
      <c r="C60" s="785"/>
      <c r="D60" s="772"/>
      <c r="E60" s="772"/>
      <c r="F60" s="772"/>
      <c r="G60" s="772"/>
      <c r="H60" s="772"/>
      <c r="I60" s="772"/>
      <c r="J60" s="772"/>
      <c r="K60" s="773"/>
      <c r="L60" s="163"/>
    </row>
    <row r="61" spans="2:12" ht="24.95" customHeight="1" x14ac:dyDescent="0.2">
      <c r="B61" s="770" t="s">
        <v>87</v>
      </c>
      <c r="C61" s="771"/>
      <c r="D61" s="739"/>
      <c r="E61" s="739"/>
      <c r="F61" s="739"/>
      <c r="G61" s="739"/>
      <c r="H61" s="739"/>
      <c r="I61" s="739"/>
      <c r="J61" s="739"/>
      <c r="K61" s="739"/>
      <c r="L61" s="163"/>
    </row>
    <row r="62" spans="2:12" ht="24.95" customHeight="1" x14ac:dyDescent="0.2">
      <c r="B62" s="770" t="s">
        <v>88</v>
      </c>
      <c r="C62" s="771"/>
      <c r="D62" s="786"/>
      <c r="E62" s="786"/>
      <c r="F62" s="786"/>
      <c r="G62" s="786"/>
      <c r="H62" s="786"/>
      <c r="I62" s="786"/>
      <c r="J62" s="786"/>
      <c r="K62" s="786"/>
      <c r="L62" s="163"/>
    </row>
    <row r="63" spans="2:12" ht="24.95" customHeight="1" x14ac:dyDescent="0.2">
      <c r="B63" s="770" t="s">
        <v>108</v>
      </c>
      <c r="C63" s="771"/>
      <c r="D63" s="739"/>
      <c r="E63" s="739"/>
      <c r="F63" s="739"/>
      <c r="G63" s="739"/>
      <c r="H63" s="739"/>
      <c r="I63" s="739"/>
      <c r="J63" s="739"/>
      <c r="K63" s="739"/>
      <c r="L63" s="163"/>
    </row>
    <row r="64" spans="2:12" ht="24.95" customHeight="1" x14ac:dyDescent="0.2">
      <c r="B64" s="821" t="s">
        <v>90</v>
      </c>
      <c r="C64" s="822"/>
      <c r="D64" s="739"/>
      <c r="E64" s="739"/>
      <c r="F64" s="739"/>
      <c r="G64" s="739"/>
      <c r="H64" s="739"/>
      <c r="I64" s="739"/>
      <c r="J64" s="739"/>
      <c r="K64" s="739"/>
      <c r="L64" s="163"/>
    </row>
    <row r="65" spans="1:27" ht="24.95" customHeight="1" x14ac:dyDescent="0.2">
      <c r="B65" s="770" t="s">
        <v>116</v>
      </c>
      <c r="C65" s="771"/>
      <c r="D65" s="739"/>
      <c r="E65" s="739"/>
      <c r="F65" s="739"/>
      <c r="G65" s="739"/>
      <c r="H65" s="739"/>
      <c r="I65" s="739"/>
      <c r="J65" s="739"/>
      <c r="K65" s="739"/>
      <c r="L65" s="163"/>
    </row>
    <row r="66" spans="1:27" ht="24.95" customHeight="1" x14ac:dyDescent="0.2">
      <c r="B66" s="781" t="s">
        <v>86</v>
      </c>
      <c r="C66" s="782"/>
      <c r="D66" s="769" t="str">
        <f>IF(D65="Asphalt",$G$151,IF(D65="Concrete, finished",$G$152,IF(D65="Concrete, unfinished",$G$153,IF(D65="Grass",$G$154,IF(D65="Gravel Bottom/riprap sides",$G$155,IF(D65="Weeds",$G$156,""))))))</f>
        <v/>
      </c>
      <c r="E66" s="769"/>
      <c r="F66" s="769"/>
      <c r="G66" s="769"/>
      <c r="H66" s="769" t="str">
        <f>IF(H65="Asphalt",$G$151,IF(H65="Concrete, finished",$G$152,IF(H65="Concrete, unfinished",$G$153,IF(H65="Grass",$G$154,IF(H65="Gravel Bottom/riprap sides",$G$155,IF(H65="Weeds",$G$156,""))))))</f>
        <v/>
      </c>
      <c r="I66" s="769"/>
      <c r="J66" s="769"/>
      <c r="K66" s="769"/>
      <c r="L66" s="766" t="s">
        <v>174</v>
      </c>
    </row>
    <row r="67" spans="1:27" ht="24.95" customHeight="1" x14ac:dyDescent="0.2">
      <c r="B67" s="781" t="s">
        <v>109</v>
      </c>
      <c r="C67" s="782"/>
      <c r="D67" s="783">
        <f>IF(ISERROR(D63/D64),0,D63/D64)</f>
        <v>0</v>
      </c>
      <c r="E67" s="783"/>
      <c r="F67" s="783"/>
      <c r="G67" s="783"/>
      <c r="H67" s="783">
        <f>IF(ISERROR(H63/H64),0,H63/H64)</f>
        <v>0</v>
      </c>
      <c r="I67" s="783"/>
      <c r="J67" s="783"/>
      <c r="K67" s="783"/>
      <c r="L67" s="766"/>
    </row>
    <row r="68" spans="1:27" ht="24.95" customHeight="1" x14ac:dyDescent="0.2">
      <c r="B68" s="781" t="s">
        <v>96</v>
      </c>
      <c r="C68" s="782"/>
      <c r="D68" s="783">
        <f>IF(D64&gt;0,(1.49*(D67^(2/3))*(D62^0.5))/D66,0)</f>
        <v>0</v>
      </c>
      <c r="E68" s="783"/>
      <c r="F68" s="783"/>
      <c r="G68" s="783"/>
      <c r="H68" s="783">
        <f>IF(H64&gt;0,(1.49*(H67^(2/3))*(H62^0.5))/H66,0)</f>
        <v>0</v>
      </c>
      <c r="I68" s="783"/>
      <c r="J68" s="783"/>
      <c r="K68" s="783"/>
      <c r="L68" s="766"/>
    </row>
    <row r="69" spans="1:27" ht="24.95" customHeight="1" x14ac:dyDescent="0.2">
      <c r="B69" s="770" t="s">
        <v>89</v>
      </c>
      <c r="C69" s="780"/>
      <c r="D69" s="783">
        <f>IF(D64&gt;0,D61/(3600*D68),0)</f>
        <v>0</v>
      </c>
      <c r="E69" s="783"/>
      <c r="F69" s="783"/>
      <c r="G69" s="783"/>
      <c r="H69" s="783">
        <f>IF(H64&gt;0,H61/(3600*H68),0)</f>
        <v>0</v>
      </c>
      <c r="I69" s="783"/>
      <c r="J69" s="783"/>
      <c r="K69" s="783"/>
      <c r="L69" s="766"/>
    </row>
    <row r="70" spans="1:27" ht="24.95" customHeight="1" thickBot="1" x14ac:dyDescent="0.25">
      <c r="B70" s="819" t="s">
        <v>125</v>
      </c>
      <c r="C70" s="820"/>
      <c r="D70" s="739">
        <f>D69+D59+D49+D39+D33</f>
        <v>0</v>
      </c>
      <c r="E70" s="739"/>
      <c r="F70" s="739"/>
      <c r="G70" s="739"/>
      <c r="H70" s="739">
        <f>H69+H59+H49+H39+H33</f>
        <v>0</v>
      </c>
      <c r="I70" s="739"/>
      <c r="J70" s="739"/>
      <c r="K70" s="739"/>
      <c r="L70" s="566" t="s">
        <v>176</v>
      </c>
    </row>
    <row r="71" spans="1:27" ht="24.95" customHeight="1" thickTop="1" thickBot="1" x14ac:dyDescent="0.3">
      <c r="B71" s="443" t="s">
        <v>134</v>
      </c>
      <c r="C71" s="445"/>
      <c r="D71" s="762" t="s">
        <v>9</v>
      </c>
      <c r="E71" s="762"/>
      <c r="F71" s="762"/>
      <c r="G71" s="762"/>
      <c r="H71" s="762" t="s">
        <v>30</v>
      </c>
      <c r="I71" s="762"/>
      <c r="J71" s="762"/>
      <c r="K71" s="762"/>
      <c r="L71" s="163"/>
    </row>
    <row r="72" spans="1:27" s="169" customFormat="1" ht="24.95" hidden="1" customHeight="1" thickTop="1" x14ac:dyDescent="0.2">
      <c r="A72" s="216"/>
      <c r="B72" s="826" t="s">
        <v>386</v>
      </c>
      <c r="C72" s="827"/>
      <c r="D72" s="816" t="e">
        <f>C122*0.2</f>
        <v>#DIV/0!</v>
      </c>
      <c r="E72" s="817"/>
      <c r="F72" s="817"/>
      <c r="G72" s="818"/>
      <c r="H72" s="816" t="e">
        <f>C130*0.2</f>
        <v>#DIV/0!</v>
      </c>
      <c r="I72" s="817"/>
      <c r="J72" s="817"/>
      <c r="K72" s="832"/>
      <c r="L72" s="420"/>
      <c r="M72" s="216"/>
      <c r="N72" s="216"/>
      <c r="O72" s="216"/>
      <c r="P72" s="216"/>
      <c r="Q72" s="216"/>
      <c r="R72" s="216"/>
      <c r="S72" s="216"/>
      <c r="T72" s="216"/>
      <c r="U72" s="216"/>
      <c r="V72" s="216"/>
      <c r="W72" s="216"/>
      <c r="X72" s="216"/>
      <c r="Y72" s="216"/>
      <c r="Z72" s="216"/>
      <c r="AA72" s="216"/>
    </row>
    <row r="73" spans="1:27" s="169" customFormat="1" ht="24.95" hidden="1" customHeight="1" x14ac:dyDescent="0.2">
      <c r="A73" s="216"/>
      <c r="B73" s="814" t="s">
        <v>387</v>
      </c>
      <c r="C73" s="815"/>
      <c r="D73" s="812" t="e">
        <f>D72/$D$11</f>
        <v>#DIV/0!</v>
      </c>
      <c r="E73" s="812"/>
      <c r="F73" s="812"/>
      <c r="G73" s="812"/>
      <c r="H73" s="812" t="e">
        <f>H72/$D$11</f>
        <v>#DIV/0!</v>
      </c>
      <c r="I73" s="812"/>
      <c r="J73" s="812"/>
      <c r="K73" s="813"/>
      <c r="L73" s="421"/>
      <c r="M73" s="216"/>
      <c r="N73" s="216"/>
      <c r="O73" s="216"/>
      <c r="P73" s="216"/>
      <c r="Q73" s="216"/>
      <c r="R73" s="216"/>
      <c r="S73" s="216"/>
      <c r="T73" s="216"/>
      <c r="U73" s="216"/>
      <c r="V73" s="216"/>
      <c r="W73" s="216"/>
      <c r="X73" s="216"/>
      <c r="Y73" s="216"/>
      <c r="Z73" s="216"/>
      <c r="AA73" s="216"/>
    </row>
    <row r="74" spans="1:27" ht="24.95" customHeight="1" thickTop="1" thickBot="1" x14ac:dyDescent="0.25">
      <c r="B74" s="828" t="s">
        <v>132</v>
      </c>
      <c r="C74" s="829"/>
      <c r="D74" s="763" t="e">
        <f>$G$109</f>
        <v>#DIV/0!</v>
      </c>
      <c r="E74" s="763"/>
      <c r="F74" s="763"/>
      <c r="G74" s="763"/>
      <c r="H74" s="763" t="e">
        <f>$H$109</f>
        <v>#DIV/0!</v>
      </c>
      <c r="I74" s="763"/>
      <c r="J74" s="763"/>
      <c r="K74" s="763"/>
      <c r="L74" s="566" t="s">
        <v>177</v>
      </c>
    </row>
    <row r="75" spans="1:27" s="142" customFormat="1" ht="24.95" customHeight="1" thickTop="1" thickBot="1" x14ac:dyDescent="0.25">
      <c r="A75" s="141"/>
      <c r="B75" s="750" t="s">
        <v>223</v>
      </c>
      <c r="C75" s="751"/>
      <c r="D75" s="436"/>
      <c r="E75" s="436"/>
      <c r="F75" s="436"/>
      <c r="G75" s="436"/>
      <c r="H75" s="436"/>
      <c r="I75" s="436"/>
      <c r="J75" s="436"/>
      <c r="K75" s="437"/>
      <c r="L75" s="422"/>
      <c r="M75" s="141"/>
      <c r="N75" s="141"/>
      <c r="O75" s="141"/>
      <c r="P75" s="141"/>
      <c r="Q75" s="141"/>
      <c r="R75" s="141"/>
      <c r="S75" s="141"/>
      <c r="T75" s="141"/>
      <c r="U75" s="141"/>
      <c r="V75" s="141"/>
      <c r="W75" s="141"/>
      <c r="X75" s="141"/>
      <c r="Y75" s="141"/>
      <c r="Z75" s="141"/>
      <c r="AA75" s="141"/>
    </row>
    <row r="76" spans="1:27" s="144" customFormat="1" ht="24.95" customHeight="1" thickTop="1" x14ac:dyDescent="0.2">
      <c r="A76" s="143"/>
      <c r="B76" s="740" t="s">
        <v>402</v>
      </c>
      <c r="C76" s="741"/>
      <c r="D76" s="742">
        <f>SUM($H$26:$K$26)</f>
        <v>0</v>
      </c>
      <c r="E76" s="743"/>
      <c r="F76" s="743"/>
      <c r="G76" s="743"/>
      <c r="H76" s="743"/>
      <c r="I76" s="743"/>
      <c r="J76" s="743"/>
      <c r="K76" s="744"/>
      <c r="L76" s="566" t="s">
        <v>222</v>
      </c>
      <c r="M76" s="143"/>
      <c r="N76" s="143"/>
      <c r="O76" s="143"/>
      <c r="P76" s="143"/>
      <c r="Q76" s="143"/>
      <c r="R76" s="143"/>
      <c r="S76" s="143"/>
      <c r="T76" s="143"/>
      <c r="U76" s="143"/>
      <c r="V76" s="143"/>
      <c r="W76" s="143"/>
      <c r="X76" s="143"/>
      <c r="Y76" s="143"/>
      <c r="Z76" s="143"/>
      <c r="AA76" s="143"/>
    </row>
    <row r="77" spans="1:27" s="144" customFormat="1" ht="24.95" customHeight="1" thickBot="1" x14ac:dyDescent="0.25">
      <c r="A77" s="143"/>
      <c r="B77" s="745" t="s">
        <v>403</v>
      </c>
      <c r="C77" s="746"/>
      <c r="D77" s="747" t="e">
        <f>IF(D76&gt;0,$C$188,H74)</f>
        <v>#DIV/0!</v>
      </c>
      <c r="E77" s="748"/>
      <c r="F77" s="748"/>
      <c r="G77" s="748"/>
      <c r="H77" s="748"/>
      <c r="I77" s="748"/>
      <c r="J77" s="748"/>
      <c r="K77" s="749"/>
      <c r="L77" s="423"/>
      <c r="M77" s="143"/>
      <c r="N77" s="143"/>
      <c r="O77" s="143"/>
      <c r="P77" s="143"/>
      <c r="Q77" s="143"/>
      <c r="R77" s="143"/>
      <c r="S77" s="143"/>
      <c r="T77" s="143"/>
      <c r="U77" s="143"/>
      <c r="V77" s="143"/>
      <c r="W77" s="143"/>
      <c r="X77" s="143"/>
      <c r="Y77" s="143"/>
      <c r="Z77" s="143"/>
      <c r="AA77" s="143"/>
    </row>
    <row r="78" spans="1:27" ht="24.95" customHeight="1" thickTop="1" thickBot="1" x14ac:dyDescent="0.25">
      <c r="B78" s="750" t="s">
        <v>385</v>
      </c>
      <c r="C78" s="751"/>
      <c r="D78" s="436"/>
      <c r="E78" s="436"/>
      <c r="F78" s="436"/>
      <c r="G78" s="436"/>
      <c r="H78" s="436"/>
      <c r="I78" s="436"/>
      <c r="J78" s="436"/>
      <c r="K78" s="437"/>
      <c r="L78" s="163"/>
    </row>
    <row r="79" spans="1:27" s="555" customFormat="1" ht="24.95" hidden="1" customHeight="1" thickTop="1" x14ac:dyDescent="0.2">
      <c r="A79" s="554"/>
      <c r="B79" s="764" t="s">
        <v>552</v>
      </c>
      <c r="C79" s="765"/>
      <c r="D79" s="823">
        <f>IF(ISERROR(C170),"",(C170))</f>
        <v>0</v>
      </c>
      <c r="E79" s="824"/>
      <c r="F79" s="824"/>
      <c r="G79" s="824"/>
      <c r="H79" s="824"/>
      <c r="I79" s="824"/>
      <c r="J79" s="824"/>
      <c r="K79" s="825"/>
      <c r="L79" s="553" t="s">
        <v>389</v>
      </c>
      <c r="M79" s="554"/>
      <c r="N79" s="554"/>
      <c r="O79" s="554"/>
      <c r="P79" s="554"/>
      <c r="Q79" s="554"/>
      <c r="R79" s="554"/>
      <c r="S79" s="554"/>
      <c r="T79" s="554"/>
      <c r="U79" s="554"/>
      <c r="V79" s="554"/>
      <c r="W79" s="554"/>
      <c r="X79" s="554"/>
      <c r="Y79" s="554"/>
      <c r="Z79" s="554"/>
      <c r="AA79" s="554"/>
    </row>
    <row r="80" spans="1:27" ht="41.25" customHeight="1" thickTop="1" thickBot="1" x14ac:dyDescent="0.25">
      <c r="B80" s="757" t="s">
        <v>590</v>
      </c>
      <c r="C80" s="758"/>
      <c r="D80" s="759" t="str">
        <f>IF(ISERROR($K$175),"",($K$175))</f>
        <v/>
      </c>
      <c r="E80" s="760"/>
      <c r="F80" s="760"/>
      <c r="G80" s="760"/>
      <c r="H80" s="760"/>
      <c r="I80" s="760"/>
      <c r="J80" s="760"/>
      <c r="K80" s="761"/>
      <c r="L80" s="566" t="s">
        <v>389</v>
      </c>
    </row>
    <row r="81" spans="1:27" ht="24.95" customHeight="1" thickTop="1" thickBot="1" x14ac:dyDescent="0.25">
      <c r="B81" s="750" t="s">
        <v>384</v>
      </c>
      <c r="C81" s="751"/>
      <c r="D81" s="436"/>
      <c r="E81" s="436"/>
      <c r="F81" s="436"/>
      <c r="G81" s="436"/>
      <c r="H81" s="436"/>
      <c r="I81" s="436"/>
      <c r="J81" s="436"/>
      <c r="K81" s="437"/>
      <c r="L81" s="163"/>
    </row>
    <row r="82" spans="1:27" ht="24.95" customHeight="1" thickTop="1" x14ac:dyDescent="0.2">
      <c r="B82" s="754" t="s">
        <v>390</v>
      </c>
      <c r="C82" s="753"/>
      <c r="D82" s="755" t="e">
        <f>IF(D72&gt;'SITE DATA'!$F$26,0,C123)</f>
        <v>#DIV/0!</v>
      </c>
      <c r="E82" s="755"/>
      <c r="F82" s="755"/>
      <c r="G82" s="755"/>
      <c r="H82" s="755" t="e">
        <f>IF(H72&gt;'SITE DATA'!$F$26,0,C131)</f>
        <v>#DIV/0!</v>
      </c>
      <c r="I82" s="755"/>
      <c r="J82" s="755"/>
      <c r="K82" s="755"/>
      <c r="L82" s="566" t="s">
        <v>178</v>
      </c>
    </row>
    <row r="83" spans="1:27" ht="24.95" customHeight="1" x14ac:dyDescent="0.2">
      <c r="B83" s="752" t="s">
        <v>349</v>
      </c>
      <c r="C83" s="753"/>
      <c r="D83" s="756" t="e">
        <f>ROUND(IF(ISERROR((D82/12)*(D10*43560)),"",((D82/12)*(D10*43560))),0)</f>
        <v>#VALUE!</v>
      </c>
      <c r="E83" s="756"/>
      <c r="F83" s="756"/>
      <c r="G83" s="756"/>
      <c r="H83" s="756">
        <f>ROUND(IF(ISERROR((H82/12)*(H10*43560)),0,((H82/12)*(H10*43560))),0)</f>
        <v>0</v>
      </c>
      <c r="I83" s="756"/>
      <c r="J83" s="756"/>
      <c r="K83" s="756"/>
      <c r="L83" s="424"/>
    </row>
    <row r="84" spans="1:27" ht="39" customHeight="1" x14ac:dyDescent="0.2">
      <c r="B84" s="757" t="s">
        <v>559</v>
      </c>
      <c r="C84" s="758"/>
      <c r="D84" s="756" t="str">
        <f>IF(ISERROR(H83-D83),"",(H83-D83))</f>
        <v/>
      </c>
      <c r="E84" s="756"/>
      <c r="F84" s="756"/>
      <c r="G84" s="756"/>
      <c r="H84" s="756"/>
      <c r="I84" s="756"/>
      <c r="J84" s="756"/>
      <c r="K84" s="756"/>
      <c r="L84" s="425"/>
    </row>
    <row r="85" spans="1:27" ht="24.95" customHeight="1" thickBot="1" x14ac:dyDescent="0.25">
      <c r="B85" s="752" t="s">
        <v>350</v>
      </c>
      <c r="C85" s="753"/>
      <c r="D85" s="809" t="e">
        <f>H127</f>
        <v>#DIV/0!</v>
      </c>
      <c r="E85" s="809"/>
      <c r="F85" s="809"/>
      <c r="G85" s="809"/>
      <c r="H85" s="809" t="e">
        <f>H135</f>
        <v>#DIV/0!</v>
      </c>
      <c r="I85" s="809"/>
      <c r="J85" s="809"/>
      <c r="K85" s="809"/>
      <c r="L85" s="426" t="s">
        <v>159</v>
      </c>
    </row>
    <row r="86" spans="1:27" ht="24.95" customHeight="1" thickTop="1" thickBot="1" x14ac:dyDescent="0.25">
      <c r="B86" s="750" t="s">
        <v>374</v>
      </c>
      <c r="C86" s="751"/>
      <c r="D86" s="436"/>
      <c r="E86" s="436"/>
      <c r="F86" s="436"/>
      <c r="G86" s="436"/>
      <c r="H86" s="436"/>
      <c r="I86" s="436"/>
      <c r="J86" s="436"/>
      <c r="K86" s="437"/>
      <c r="L86" s="426"/>
    </row>
    <row r="87" spans="1:27" ht="24.95" customHeight="1" thickTop="1" x14ac:dyDescent="0.2">
      <c r="B87" s="754" t="s">
        <v>391</v>
      </c>
      <c r="C87" s="753"/>
      <c r="D87" s="755" t="e">
        <f>IF($D$72&gt;'SITE DATA'!$F$27,0,C124)</f>
        <v>#DIV/0!</v>
      </c>
      <c r="E87" s="755"/>
      <c r="F87" s="755"/>
      <c r="G87" s="755"/>
      <c r="H87" s="755" t="e">
        <f>IF($H$72&gt;'SITE DATA'!$F$27,0,C132)</f>
        <v>#DIV/0!</v>
      </c>
      <c r="I87" s="755"/>
      <c r="J87" s="755"/>
      <c r="K87" s="755"/>
      <c r="L87" s="566" t="s">
        <v>178</v>
      </c>
    </row>
    <row r="88" spans="1:27" ht="24.95" customHeight="1" x14ac:dyDescent="0.2">
      <c r="B88" s="752" t="s">
        <v>349</v>
      </c>
      <c r="C88" s="753"/>
      <c r="D88" s="756" t="e">
        <f>(D87/12)*($D$10*43560)</f>
        <v>#DIV/0!</v>
      </c>
      <c r="E88" s="756"/>
      <c r="F88" s="756"/>
      <c r="G88" s="756"/>
      <c r="H88" s="756" t="e">
        <f>(H87/12)*(H10*43560)</f>
        <v>#DIV/0!</v>
      </c>
      <c r="I88" s="756"/>
      <c r="J88" s="756"/>
      <c r="K88" s="756"/>
      <c r="L88" s="426"/>
    </row>
    <row r="89" spans="1:27" ht="24.95" customHeight="1" thickBot="1" x14ac:dyDescent="0.25">
      <c r="B89" s="752" t="s">
        <v>351</v>
      </c>
      <c r="C89" s="753"/>
      <c r="D89" s="809" t="e">
        <f>H128</f>
        <v>#DIV/0!</v>
      </c>
      <c r="E89" s="809"/>
      <c r="F89" s="809"/>
      <c r="G89" s="809"/>
      <c r="H89" s="809" t="e">
        <f>H136</f>
        <v>#DIV/0!</v>
      </c>
      <c r="I89" s="809"/>
      <c r="J89" s="809"/>
      <c r="K89" s="809"/>
      <c r="L89" s="426" t="s">
        <v>159</v>
      </c>
    </row>
    <row r="90" spans="1:27" ht="24.95" customHeight="1" thickTop="1" thickBot="1" x14ac:dyDescent="0.25">
      <c r="B90" s="750" t="s">
        <v>376</v>
      </c>
      <c r="C90" s="751"/>
      <c r="D90" s="436"/>
      <c r="E90" s="436"/>
      <c r="F90" s="436"/>
      <c r="G90" s="436"/>
      <c r="H90" s="436"/>
      <c r="I90" s="436"/>
      <c r="J90" s="436"/>
      <c r="K90" s="437"/>
      <c r="L90" s="426"/>
    </row>
    <row r="91" spans="1:27" ht="24.95" customHeight="1" thickTop="1" x14ac:dyDescent="0.2">
      <c r="B91" s="754" t="s">
        <v>392</v>
      </c>
      <c r="C91" s="753"/>
      <c r="D91" s="755" t="e">
        <f>IF($D$72&gt;'SITE DATA'!F28,0,C125)</f>
        <v>#DIV/0!</v>
      </c>
      <c r="E91" s="755"/>
      <c r="F91" s="755"/>
      <c r="G91" s="755"/>
      <c r="H91" s="755" t="e">
        <f>IF($H$72&gt;'SITE DATA'!F28,0,C133)</f>
        <v>#DIV/0!</v>
      </c>
      <c r="I91" s="755"/>
      <c r="J91" s="755"/>
      <c r="K91" s="755"/>
      <c r="L91" s="566" t="s">
        <v>178</v>
      </c>
    </row>
    <row r="92" spans="1:27" ht="24.95" customHeight="1" x14ac:dyDescent="0.2">
      <c r="B92" s="752" t="s">
        <v>349</v>
      </c>
      <c r="C92" s="753"/>
      <c r="D92" s="756" t="e">
        <f>(D91/12)*($D$10*43560)</f>
        <v>#DIV/0!</v>
      </c>
      <c r="E92" s="756"/>
      <c r="F92" s="756"/>
      <c r="G92" s="756"/>
      <c r="H92" s="756" t="e">
        <f>(H91/12)*($D$10*43560)</f>
        <v>#DIV/0!</v>
      </c>
      <c r="I92" s="756"/>
      <c r="J92" s="756"/>
      <c r="K92" s="756"/>
      <c r="L92" s="426"/>
    </row>
    <row r="93" spans="1:27" ht="24.95" customHeight="1" thickBot="1" x14ac:dyDescent="0.25">
      <c r="B93" s="810" t="s">
        <v>352</v>
      </c>
      <c r="C93" s="811"/>
      <c r="D93" s="808" t="e">
        <f>H129</f>
        <v>#DIV/0!</v>
      </c>
      <c r="E93" s="808"/>
      <c r="F93" s="808"/>
      <c r="G93" s="808"/>
      <c r="H93" s="808" t="e">
        <f>H137</f>
        <v>#DIV/0!</v>
      </c>
      <c r="I93" s="808"/>
      <c r="J93" s="808"/>
      <c r="K93" s="808"/>
      <c r="L93" s="426"/>
    </row>
    <row r="94" spans="1:27" s="507" customFormat="1" ht="24.95" hidden="1" customHeight="1" thickTop="1" x14ac:dyDescent="0.2">
      <c r="B94" s="165"/>
      <c r="C94" s="165"/>
      <c r="D94" s="807" t="e">
        <f>IF($H$93&gt;$D$93,"Post-development peak flow exceeds pre-development peak flow for this DA!","")</f>
        <v>#DIV/0!</v>
      </c>
      <c r="E94" s="807"/>
      <c r="F94" s="807"/>
      <c r="G94" s="807"/>
      <c r="H94" s="807"/>
      <c r="I94" s="807"/>
      <c r="J94" s="807"/>
      <c r="K94" s="807"/>
    </row>
    <row r="95" spans="1:27" s="507" customFormat="1" ht="15" hidden="1" customHeight="1" x14ac:dyDescent="0.2">
      <c r="B95" s="155"/>
      <c r="C95" s="165"/>
      <c r="D95" s="167"/>
      <c r="E95" s="167"/>
      <c r="F95" s="167"/>
      <c r="G95" s="167"/>
      <c r="H95" s="167"/>
      <c r="I95" s="167"/>
      <c r="J95" s="167"/>
      <c r="K95" s="167"/>
      <c r="L95" s="168"/>
    </row>
    <row r="96" spans="1:27" s="169" customFormat="1" ht="15.75" hidden="1" customHeight="1" x14ac:dyDescent="0.25">
      <c r="A96" s="216"/>
      <c r="B96" s="806" t="s">
        <v>126</v>
      </c>
      <c r="C96" s="806"/>
      <c r="D96" s="806"/>
      <c r="E96" s="806"/>
      <c r="F96" s="806"/>
      <c r="G96" s="806"/>
      <c r="H96" s="806"/>
      <c r="I96" s="806"/>
      <c r="J96" s="806"/>
      <c r="K96" s="806"/>
      <c r="L96" s="806"/>
      <c r="M96" s="216"/>
      <c r="N96" s="216"/>
      <c r="O96" s="216"/>
      <c r="P96" s="216"/>
      <c r="Q96" s="216"/>
      <c r="R96" s="216"/>
      <c r="S96" s="216"/>
      <c r="T96" s="216"/>
      <c r="U96" s="216"/>
      <c r="V96" s="216"/>
      <c r="W96" s="216"/>
      <c r="X96" s="216"/>
      <c r="Y96" s="216"/>
      <c r="Z96" s="216"/>
      <c r="AA96" s="216"/>
    </row>
    <row r="97" spans="2:14" s="507" customFormat="1" ht="15" hidden="1" customHeight="1" x14ac:dyDescent="0.2">
      <c r="K97" s="167"/>
      <c r="L97" s="168"/>
    </row>
    <row r="98" spans="2:14" ht="18.75" hidden="1" customHeight="1" thickBot="1" x14ac:dyDescent="0.25">
      <c r="B98" s="855" t="s">
        <v>133</v>
      </c>
      <c r="C98" s="856"/>
      <c r="D98" s="856"/>
      <c r="E98" s="856"/>
      <c r="F98" s="856"/>
      <c r="G98" s="856"/>
      <c r="H98" s="856"/>
      <c r="I98" s="856"/>
      <c r="J98" s="170"/>
      <c r="K98" s="507"/>
      <c r="L98" s="507"/>
    </row>
    <row r="99" spans="2:14" ht="60" hidden="1" customHeight="1" x14ac:dyDescent="0.2">
      <c r="B99" s="171" t="s">
        <v>14</v>
      </c>
      <c r="C99" s="172" t="s">
        <v>15</v>
      </c>
      <c r="D99" s="172" t="s">
        <v>16</v>
      </c>
      <c r="E99" s="172" t="s">
        <v>18</v>
      </c>
      <c r="F99" s="172" t="s">
        <v>17</v>
      </c>
      <c r="G99" s="224" t="s">
        <v>289</v>
      </c>
      <c r="H99" s="225" t="s">
        <v>290</v>
      </c>
      <c r="I99" s="250" t="s">
        <v>377</v>
      </c>
      <c r="J99" s="249"/>
      <c r="K99" s="508"/>
      <c r="L99" s="507"/>
    </row>
    <row r="100" spans="2:14" ht="15" hidden="1" customHeight="1" x14ac:dyDescent="0.2">
      <c r="B100" s="173" t="s">
        <v>12</v>
      </c>
      <c r="C100" s="568">
        <v>39</v>
      </c>
      <c r="D100" s="568">
        <v>61</v>
      </c>
      <c r="E100" s="568">
        <v>74</v>
      </c>
      <c r="F100" s="568">
        <v>80</v>
      </c>
      <c r="G100" s="567">
        <f t="shared" ref="G100:G107" si="0">(C100*D17)+(D100*E17)+(E100*F17)+(F100*G17)</f>
        <v>0</v>
      </c>
      <c r="H100" s="569">
        <f>($C$100*$H$17)+($D$100*$I$17)+($E$100*$J$17)+($F$100*$K$17)</f>
        <v>0</v>
      </c>
      <c r="I100" s="251">
        <f>($C$100*$H$17)+($D$100*$I$17)+($E$100*$J$17)+($F$100*$K$17)</f>
        <v>0</v>
      </c>
      <c r="J100" s="508"/>
      <c r="K100" s="508"/>
      <c r="L100" s="507"/>
    </row>
    <row r="101" spans="2:14" ht="18" hidden="1" customHeight="1" x14ac:dyDescent="0.2">
      <c r="B101" s="173" t="s">
        <v>233</v>
      </c>
      <c r="C101" s="568">
        <v>45</v>
      </c>
      <c r="D101" s="568">
        <v>66</v>
      </c>
      <c r="E101" s="568">
        <v>77</v>
      </c>
      <c r="F101" s="568">
        <v>83</v>
      </c>
      <c r="G101" s="567">
        <f t="shared" si="0"/>
        <v>0</v>
      </c>
      <c r="H101" s="569">
        <f>($C$101*$H$18)+($D$101*$I$18)+($E$101*$J$18)+($F$101*$K$18)</f>
        <v>0</v>
      </c>
      <c r="I101" s="251">
        <f>($C$101*$H$18)+($D$101*$I$18)+($E$101*$J$18)+($F$101*$K$18)</f>
        <v>0</v>
      </c>
      <c r="J101" s="508"/>
      <c r="K101" s="508"/>
      <c r="L101" s="507"/>
    </row>
    <row r="102" spans="2:14" ht="18" hidden="1" customHeight="1" x14ac:dyDescent="0.2">
      <c r="B102" s="173" t="s">
        <v>235</v>
      </c>
      <c r="C102" s="568">
        <v>36</v>
      </c>
      <c r="D102" s="568">
        <v>60</v>
      </c>
      <c r="E102" s="568">
        <v>73</v>
      </c>
      <c r="F102" s="568">
        <v>79</v>
      </c>
      <c r="G102" s="567">
        <f t="shared" si="0"/>
        <v>0</v>
      </c>
      <c r="H102" s="569">
        <f>($C$102*$H$19)+($D$102*$I$19)+($E$102*$J$19)+($F$102*$K$19)</f>
        <v>0</v>
      </c>
      <c r="I102" s="251">
        <f>($C$102*$H$19)+($D$102*$I$19)+($E$102*$J$19)+($F$102*$K$19)</f>
        <v>0</v>
      </c>
      <c r="J102" s="508"/>
      <c r="K102" s="508"/>
      <c r="L102" s="507"/>
    </row>
    <row r="103" spans="2:14" ht="18" hidden="1" customHeight="1" x14ac:dyDescent="0.2">
      <c r="B103" s="173" t="s">
        <v>236</v>
      </c>
      <c r="C103" s="568">
        <v>30</v>
      </c>
      <c r="D103" s="568">
        <v>55</v>
      </c>
      <c r="E103" s="568">
        <v>70</v>
      </c>
      <c r="F103" s="568">
        <v>77</v>
      </c>
      <c r="G103" s="567">
        <f t="shared" si="0"/>
        <v>0</v>
      </c>
      <c r="H103" s="569">
        <f>($C$103*$H$20)+($D$103*$I$20)+($E$103*$J$20)+($F$103*$K$20)</f>
        <v>0</v>
      </c>
      <c r="I103" s="251">
        <f>($C$103*$H$20)+($D$103*$I$20)+($E$103*$J$20)+($F$103*$K$20)</f>
        <v>0</v>
      </c>
      <c r="J103" s="508"/>
      <c r="K103" s="508"/>
      <c r="L103" s="507"/>
    </row>
    <row r="104" spans="2:14" ht="18" hidden="1" customHeight="1" x14ac:dyDescent="0.2">
      <c r="B104" s="173" t="s">
        <v>234</v>
      </c>
      <c r="C104" s="568">
        <v>68</v>
      </c>
      <c r="D104" s="568">
        <v>79</v>
      </c>
      <c r="E104" s="568">
        <v>86</v>
      </c>
      <c r="F104" s="568">
        <v>89</v>
      </c>
      <c r="G104" s="567">
        <f t="shared" si="0"/>
        <v>0</v>
      </c>
      <c r="H104" s="569">
        <f>($C$104*$H$21)+($D$104*$I$21)+($E$104*$J$21)+($F$104*$K$21)</f>
        <v>0</v>
      </c>
      <c r="I104" s="251">
        <f>($C$104*$H$21)+($D$104*$I$21)+($E$104*$J$21)+($F$104*$K$21)</f>
        <v>0</v>
      </c>
      <c r="J104" s="508"/>
      <c r="K104" s="508"/>
      <c r="L104" s="507"/>
    </row>
    <row r="105" spans="2:14" ht="18" hidden="1" customHeight="1" x14ac:dyDescent="0.2">
      <c r="B105" s="173" t="s">
        <v>237</v>
      </c>
      <c r="C105" s="568">
        <v>49</v>
      </c>
      <c r="D105" s="568">
        <v>69</v>
      </c>
      <c r="E105" s="568">
        <v>79</v>
      </c>
      <c r="F105" s="568">
        <v>84</v>
      </c>
      <c r="G105" s="567">
        <f t="shared" si="0"/>
        <v>0</v>
      </c>
      <c r="H105" s="569">
        <f>($C$105*$H$22)+($D$105*$I$22)+($E$105*$J$22)+($F$105*$K$22)</f>
        <v>0</v>
      </c>
      <c r="I105" s="251">
        <f>($C$105*$H$22)+($D$105*$I$22)+($E$105*$J$22)+($F$105*$K$22)</f>
        <v>0</v>
      </c>
      <c r="J105" s="508"/>
      <c r="K105" s="508"/>
      <c r="L105" s="507"/>
    </row>
    <row r="106" spans="2:14" ht="18" hidden="1" customHeight="1" x14ac:dyDescent="0.2">
      <c r="B106" s="173" t="s">
        <v>238</v>
      </c>
      <c r="C106" s="568">
        <v>39</v>
      </c>
      <c r="D106" s="568">
        <v>61</v>
      </c>
      <c r="E106" s="568">
        <v>74</v>
      </c>
      <c r="F106" s="568">
        <v>80</v>
      </c>
      <c r="G106" s="567">
        <f t="shared" si="0"/>
        <v>0</v>
      </c>
      <c r="H106" s="569">
        <f>($C$106*$H$23)+($D$106*$I$23)+($E$106*$J$23)+($F$106*$K$23)</f>
        <v>0</v>
      </c>
      <c r="I106" s="251">
        <f>($C$106*$H$23)+($D$106*$I$23)+($E$106*$J$23)+($F$106*$K$23)</f>
        <v>0</v>
      </c>
      <c r="J106" s="508"/>
      <c r="K106" s="508"/>
      <c r="L106" s="507"/>
    </row>
    <row r="107" spans="2:14" ht="15" hidden="1" customHeight="1" x14ac:dyDescent="0.2">
      <c r="B107" s="173" t="s">
        <v>245</v>
      </c>
      <c r="C107" s="568">
        <v>30</v>
      </c>
      <c r="D107" s="568">
        <v>55</v>
      </c>
      <c r="E107" s="568">
        <v>70</v>
      </c>
      <c r="F107" s="568">
        <v>77</v>
      </c>
      <c r="G107" s="567">
        <f t="shared" si="0"/>
        <v>0</v>
      </c>
      <c r="H107" s="569">
        <f>($C$107*$H$24)+($D$107*$I$24)+($E$107*$J$24)+($F$107*$K$24)</f>
        <v>0</v>
      </c>
      <c r="I107" s="251">
        <f>($C$107*$H$24)+($D$107*$I$24)+($E$107*$J$24)+($F$107*$K$24)</f>
        <v>0</v>
      </c>
      <c r="J107" s="508"/>
      <c r="K107" s="508"/>
      <c r="L107" s="507"/>
    </row>
    <row r="108" spans="2:14" ht="18.75" hidden="1" customHeight="1" thickBot="1" x14ac:dyDescent="0.25">
      <c r="B108" s="175" t="s">
        <v>243</v>
      </c>
      <c r="C108" s="176">
        <v>98</v>
      </c>
      <c r="D108" s="176">
        <v>98</v>
      </c>
      <c r="E108" s="177">
        <v>98</v>
      </c>
      <c r="F108" s="177">
        <v>98</v>
      </c>
      <c r="G108" s="228">
        <f>(C108*(D26+D25))+(D108*(E26+E25))+(E108*(F26+F25))+(F108*(G26+G25))</f>
        <v>0</v>
      </c>
      <c r="H108" s="229">
        <f>($C$108*(H25+H26))+($D$108*(I25+I26))+($E$108*(J25+J26))+($F$108*(K25+K26))</f>
        <v>0</v>
      </c>
      <c r="I108" s="252">
        <f>($C$108*H26)+($D$108*I26)+($E$108*J26)+($F$108*K26)</f>
        <v>0</v>
      </c>
      <c r="J108" s="508" t="s">
        <v>370</v>
      </c>
      <c r="K108" s="508"/>
      <c r="L108" s="507"/>
    </row>
    <row r="109" spans="2:14" ht="15.75" hidden="1" customHeight="1" thickBot="1" x14ac:dyDescent="0.25">
      <c r="B109" s="178"/>
      <c r="C109" s="146"/>
      <c r="D109" s="146"/>
      <c r="E109" s="869" t="s">
        <v>265</v>
      </c>
      <c r="F109" s="870"/>
      <c r="G109" s="414" t="e">
        <f>ROUND((SUM(G100:G108)/SUM(D17:G26)),2)</f>
        <v>#DIV/0!</v>
      </c>
      <c r="H109" s="414" t="e">
        <f>ROUND((SUM(H100:H108)/SUM(H17:K26)),2)</f>
        <v>#DIV/0!</v>
      </c>
      <c r="I109" s="415" t="e">
        <f>ROUND(SUM(I100:I108)/(SUM(H17:K26)-SUM(H25:K25)),2)</f>
        <v>#DIV/0!</v>
      </c>
      <c r="J109" s="508"/>
      <c r="K109" s="508"/>
      <c r="L109" s="507"/>
    </row>
    <row r="110" spans="2:14" ht="15" hidden="1" customHeight="1" x14ac:dyDescent="0.2">
      <c r="B110" s="509"/>
      <c r="C110" s="506"/>
      <c r="D110" s="506"/>
      <c r="E110" s="159"/>
      <c r="F110" s="159"/>
      <c r="G110" s="159"/>
      <c r="H110" s="506"/>
      <c r="I110" s="506"/>
      <c r="J110" s="507"/>
      <c r="K110" s="167"/>
      <c r="L110" s="168"/>
    </row>
    <row r="111" spans="2:14" ht="15.75" hidden="1" customHeight="1" thickBot="1" x14ac:dyDescent="0.25">
      <c r="B111" s="507"/>
      <c r="C111" s="507"/>
      <c r="D111" s="506"/>
      <c r="E111" s="507"/>
      <c r="F111" s="507"/>
      <c r="G111" s="507"/>
      <c r="H111" s="507"/>
      <c r="I111" s="507"/>
      <c r="J111" s="507"/>
      <c r="K111" s="507"/>
    </row>
    <row r="112" spans="2:14" ht="18.75" hidden="1" customHeight="1" thickBot="1" x14ac:dyDescent="0.3">
      <c r="B112" s="836" t="s">
        <v>383</v>
      </c>
      <c r="C112" s="837"/>
      <c r="D112" s="506"/>
      <c r="E112" s="849" t="s">
        <v>55</v>
      </c>
      <c r="F112" s="850"/>
      <c r="G112" s="850"/>
      <c r="H112" s="850"/>
      <c r="I112" s="850"/>
      <c r="J112" s="850"/>
      <c r="K112" s="850"/>
      <c r="L112" s="850"/>
      <c r="M112" s="850"/>
      <c r="N112" s="851"/>
    </row>
    <row r="113" spans="2:14" ht="15" hidden="1" customHeight="1" x14ac:dyDescent="0.2">
      <c r="B113" s="838"/>
      <c r="C113" s="839"/>
      <c r="D113" s="506"/>
      <c r="E113" s="865" t="s">
        <v>32</v>
      </c>
      <c r="F113" s="866"/>
      <c r="G113" s="866"/>
      <c r="H113" s="866"/>
      <c r="I113" s="866"/>
      <c r="J113" s="866"/>
      <c r="K113" s="866"/>
      <c r="L113" s="866"/>
      <c r="M113" s="866"/>
      <c r="N113" s="867"/>
    </row>
    <row r="114" spans="2:14" ht="18" hidden="1" customHeight="1" x14ac:dyDescent="0.2">
      <c r="B114" s="64"/>
      <c r="C114" s="113"/>
      <c r="D114" s="506"/>
      <c r="E114" s="265"/>
      <c r="F114" s="159"/>
      <c r="G114" s="266"/>
      <c r="H114" s="266"/>
      <c r="I114" s="266"/>
      <c r="J114" s="266"/>
      <c r="K114" s="510"/>
      <c r="L114" s="181"/>
      <c r="M114" s="506"/>
      <c r="N114" s="513"/>
    </row>
    <row r="115" spans="2:14" ht="20.25" hidden="1" customHeight="1" x14ac:dyDescent="0.35">
      <c r="B115" s="863" t="s">
        <v>40</v>
      </c>
      <c r="C115" s="864"/>
      <c r="D115" s="506"/>
      <c r="E115" s="265"/>
      <c r="F115" s="266"/>
      <c r="G115" s="267" t="s">
        <v>149</v>
      </c>
      <c r="H115" s="267"/>
      <c r="I115" s="268"/>
      <c r="J115" s="506" t="s">
        <v>138</v>
      </c>
      <c r="K115" s="510"/>
      <c r="L115" s="181"/>
      <c r="M115" s="506"/>
      <c r="N115" s="513"/>
    </row>
    <row r="116" spans="2:14" ht="60" hidden="1" customHeight="1" x14ac:dyDescent="0.2">
      <c r="B116" s="863" t="s">
        <v>22</v>
      </c>
      <c r="C116" s="864"/>
      <c r="D116" s="182" t="s">
        <v>304</v>
      </c>
      <c r="E116" s="265"/>
      <c r="F116" s="266"/>
      <c r="G116" s="267" t="s">
        <v>33</v>
      </c>
      <c r="H116" s="267"/>
      <c r="I116" s="267"/>
      <c r="J116" s="510"/>
      <c r="K116" s="267" t="s">
        <v>33</v>
      </c>
      <c r="L116" s="181"/>
      <c r="M116" s="506"/>
      <c r="N116" s="513"/>
    </row>
    <row r="117" spans="2:14" ht="19.5" hidden="1" customHeight="1" x14ac:dyDescent="0.35">
      <c r="B117" s="183" t="s">
        <v>45</v>
      </c>
      <c r="C117" s="184"/>
      <c r="D117" s="506"/>
      <c r="E117" s="265"/>
      <c r="F117" s="266"/>
      <c r="G117" s="267" t="s">
        <v>128</v>
      </c>
      <c r="H117" s="267"/>
      <c r="I117" s="267"/>
      <c r="J117" s="266"/>
      <c r="K117" s="506" t="s">
        <v>139</v>
      </c>
      <c r="L117" s="181"/>
      <c r="M117" s="506"/>
      <c r="N117" s="513"/>
    </row>
    <row r="118" spans="2:14" ht="19.5" hidden="1" customHeight="1" x14ac:dyDescent="0.35">
      <c r="B118" s="183" t="s">
        <v>41</v>
      </c>
      <c r="C118" s="114"/>
      <c r="D118" s="506"/>
      <c r="E118" s="265"/>
      <c r="F118" s="181"/>
      <c r="G118" s="267" t="s">
        <v>158</v>
      </c>
      <c r="H118" s="268"/>
      <c r="I118" s="268"/>
      <c r="J118" s="268"/>
      <c r="K118" s="506" t="s">
        <v>140</v>
      </c>
      <c r="L118" s="181"/>
      <c r="M118" s="506"/>
      <c r="N118" s="513"/>
    </row>
    <row r="119" spans="2:14" ht="20.25" hidden="1" customHeight="1" x14ac:dyDescent="0.35">
      <c r="B119" s="185"/>
      <c r="C119" s="184"/>
      <c r="D119" s="506"/>
      <c r="E119" s="265"/>
      <c r="F119" s="266"/>
      <c r="G119" s="267" t="s">
        <v>130</v>
      </c>
      <c r="H119" s="267"/>
      <c r="I119" s="267"/>
      <c r="J119" s="266"/>
      <c r="K119" s="510"/>
      <c r="L119" s="269"/>
      <c r="M119" s="506"/>
      <c r="N119" s="513"/>
    </row>
    <row r="120" spans="2:14" ht="15" hidden="1" customHeight="1" x14ac:dyDescent="0.2">
      <c r="B120" s="186" t="s">
        <v>48</v>
      </c>
      <c r="C120" s="184"/>
      <c r="D120" s="506"/>
      <c r="E120" s="265"/>
      <c r="F120" s="266"/>
      <c r="G120" s="267" t="s">
        <v>34</v>
      </c>
      <c r="H120" s="267"/>
      <c r="I120" s="267"/>
      <c r="J120" s="266"/>
      <c r="K120" s="510"/>
      <c r="L120" s="269"/>
      <c r="M120" s="506"/>
      <c r="N120" s="513"/>
    </row>
    <row r="121" spans="2:14" ht="19.5" hidden="1" customHeight="1" x14ac:dyDescent="0.35">
      <c r="B121" s="51" t="s">
        <v>20</v>
      </c>
      <c r="C121" s="187" t="s">
        <v>42</v>
      </c>
      <c r="D121" s="506"/>
      <c r="E121" s="265"/>
      <c r="F121" s="159"/>
      <c r="G121" s="267" t="s">
        <v>150</v>
      </c>
      <c r="H121" s="506"/>
      <c r="I121" s="506"/>
      <c r="J121" s="270"/>
      <c r="K121" s="506"/>
      <c r="L121" s="271"/>
      <c r="M121" s="506"/>
      <c r="N121" s="513"/>
    </row>
    <row r="122" spans="2:14" ht="15.75" hidden="1" customHeight="1" x14ac:dyDescent="0.2">
      <c r="B122" s="51" t="s">
        <v>20</v>
      </c>
      <c r="C122" s="115" t="e">
        <f>(1000/$G$109)-10</f>
        <v>#DIV/0!</v>
      </c>
      <c r="D122" s="506"/>
      <c r="E122" s="860" t="s">
        <v>35</v>
      </c>
      <c r="F122" s="861"/>
      <c r="G122" s="861"/>
      <c r="H122" s="861"/>
      <c r="I122" s="861"/>
      <c r="J122" s="861"/>
      <c r="K122" s="861"/>
      <c r="L122" s="861"/>
      <c r="M122" s="861"/>
      <c r="N122" s="862"/>
    </row>
    <row r="123" spans="2:14" ht="19.5" hidden="1" customHeight="1" x14ac:dyDescent="0.25">
      <c r="B123" s="188" t="s">
        <v>330</v>
      </c>
      <c r="C123" s="76" t="e">
        <f>(($D$11-(0.2*$C$122))^2)/($D$11+(0.8*$C$122))</f>
        <v>#DIV/0!</v>
      </c>
      <c r="D123" s="506"/>
      <c r="E123" s="265"/>
      <c r="F123" s="272"/>
      <c r="G123" s="269" t="s">
        <v>61</v>
      </c>
      <c r="H123" s="273" t="e">
        <f>N125</f>
        <v>#DIV/0!</v>
      </c>
      <c r="I123" s="269" t="s">
        <v>36</v>
      </c>
      <c r="J123" s="506"/>
      <c r="K123" s="511" t="s">
        <v>141</v>
      </c>
      <c r="L123" s="190" t="e">
        <f>IF(D73&gt;0.475,$J$147,IF(D73&gt;0.425,$J$146,IF(D73&gt;0.375,$J$145,IF(D73&gt;0.325,$J$144,IF(D73&gt;0.2,$J$143,$J$142)))))</f>
        <v>#DIV/0!</v>
      </c>
      <c r="M123" s="191"/>
      <c r="N123" s="232"/>
    </row>
    <row r="124" spans="2:14" ht="19.5" hidden="1" customHeight="1" x14ac:dyDescent="0.35">
      <c r="B124" s="188" t="s">
        <v>331</v>
      </c>
      <c r="C124" s="76" t="e">
        <f>(($D$12-(0.2*$C$122))^2)/($D$12+(0.8*$C$122))</f>
        <v>#DIV/0!</v>
      </c>
      <c r="D124" s="506"/>
      <c r="E124" s="274"/>
      <c r="F124" s="272"/>
      <c r="G124" s="269" t="s">
        <v>62</v>
      </c>
      <c r="H124" s="275">
        <f>(D9/640)</f>
        <v>0</v>
      </c>
      <c r="I124" s="269" t="s">
        <v>63</v>
      </c>
      <c r="J124" s="506"/>
      <c r="K124" s="511" t="s">
        <v>142</v>
      </c>
      <c r="L124" s="192" t="e">
        <f>IF(L123=J142,K142,IF(L123=J143,K143,IF(L123=J144,K144,IF(L123=J145,K145,IF(L123=J146,K146,IF(L123=J147,K147,""))))))</f>
        <v>#DIV/0!</v>
      </c>
      <c r="M124" s="165" t="s">
        <v>145</v>
      </c>
      <c r="N124" s="513" t="e">
        <f>L124+(L125*LOG(N126))+(L126*((LOG(N126))^2))</f>
        <v>#DIV/0!</v>
      </c>
    </row>
    <row r="125" spans="2:14" ht="19.5" hidden="1" customHeight="1" x14ac:dyDescent="0.35">
      <c r="B125" s="188" t="s">
        <v>332</v>
      </c>
      <c r="C125" s="76" t="e">
        <f>(($D$13-(0.2*$C$122))^2)/($D$13+(0.8*$C$122))</f>
        <v>#DIV/0!</v>
      </c>
      <c r="D125" s="506"/>
      <c r="E125" s="276" t="s">
        <v>151</v>
      </c>
      <c r="F125" s="277" t="e">
        <f>($D$15/$D$9)*100</f>
        <v>#DIV/0!</v>
      </c>
      <c r="G125" s="278" t="s">
        <v>169</v>
      </c>
      <c r="H125" s="273" t="e">
        <f>IF($F$125&gt;4.44,$N$157,IF($F$125&gt;2.44,$N$156,IF($F$125&gt;0.45,$N$155,IF($F$125&gt;0.144,$N$154,1))))</f>
        <v>#DIV/0!</v>
      </c>
      <c r="I125" s="269"/>
      <c r="J125" s="506"/>
      <c r="K125" s="511" t="s">
        <v>143</v>
      </c>
      <c r="L125" s="192" t="e">
        <f>IF($L$123=J142,L142,IF($L$123=J143,L143,IF($L$123=J144,L144,IF($L$123=J145,L145,IF($L$123=J146,L146,IF($L$123=J147,L147,""))))))</f>
        <v>#DIV/0!</v>
      </c>
      <c r="M125" s="165" t="s">
        <v>146</v>
      </c>
      <c r="N125" s="513" t="e">
        <f>10^N124</f>
        <v>#DIV/0!</v>
      </c>
    </row>
    <row r="126" spans="2:14" ht="19.5" hidden="1" customHeight="1" x14ac:dyDescent="0.35">
      <c r="B126" s="186" t="s">
        <v>49</v>
      </c>
      <c r="C126" s="184"/>
      <c r="D126" s="506"/>
      <c r="E126" s="233"/>
      <c r="F126" s="234"/>
      <c r="G126" s="234"/>
      <c r="H126" s="234"/>
      <c r="I126" s="234"/>
      <c r="J126" s="506"/>
      <c r="K126" s="511" t="s">
        <v>144</v>
      </c>
      <c r="L126" s="192" t="e">
        <f>IF($L$123=J142,M142,IF($L$123=J143,M143,IF($L$123=J144,M144,IF($L$123=J145,M145,IF($L$123=J146,M146,IF($L$123=J147,M147,""))))))</f>
        <v>#DIV/0!</v>
      </c>
      <c r="M126" s="165" t="s">
        <v>72</v>
      </c>
      <c r="N126" s="235">
        <f>D70</f>
        <v>0</v>
      </c>
    </row>
    <row r="127" spans="2:14" ht="18.75" hidden="1" customHeight="1" x14ac:dyDescent="0.2">
      <c r="B127" s="186"/>
      <c r="C127" s="184"/>
      <c r="D127" s="506"/>
      <c r="E127" s="276"/>
      <c r="F127" s="277"/>
      <c r="G127" s="279" t="s">
        <v>37</v>
      </c>
      <c r="H127" s="280" t="e">
        <f>$H$124*C123*$H$125*$H$123</f>
        <v>#DIV/0!</v>
      </c>
      <c r="I127" s="279" t="s">
        <v>38</v>
      </c>
      <c r="J127" s="506"/>
      <c r="K127" s="511"/>
      <c r="L127" s="192"/>
      <c r="M127" s="165"/>
      <c r="N127" s="235"/>
    </row>
    <row r="128" spans="2:14" ht="18.75" hidden="1" customHeight="1" x14ac:dyDescent="0.2">
      <c r="B128" s="186"/>
      <c r="C128" s="184"/>
      <c r="D128" s="506"/>
      <c r="E128" s="276"/>
      <c r="F128" s="277"/>
      <c r="G128" s="279" t="s">
        <v>327</v>
      </c>
      <c r="H128" s="280" t="e">
        <f>$H$124*C124*$H$125*$H$123</f>
        <v>#DIV/0!</v>
      </c>
      <c r="I128" s="279" t="s">
        <v>38</v>
      </c>
      <c r="J128" s="506"/>
      <c r="K128" s="511"/>
      <c r="L128" s="192"/>
      <c r="M128" s="165"/>
      <c r="N128" s="235"/>
    </row>
    <row r="129" spans="2:14" ht="18.75" hidden="1" customHeight="1" x14ac:dyDescent="0.2">
      <c r="B129" s="51" t="s">
        <v>20</v>
      </c>
      <c r="C129" s="187" t="s">
        <v>42</v>
      </c>
      <c r="D129" s="506"/>
      <c r="E129" s="265"/>
      <c r="F129" s="281"/>
      <c r="G129" s="279" t="s">
        <v>328</v>
      </c>
      <c r="H129" s="280" t="e">
        <f>$H$124*C125*$H$125*$H$123</f>
        <v>#DIV/0!</v>
      </c>
      <c r="I129" s="279" t="s">
        <v>38</v>
      </c>
      <c r="J129" s="506"/>
      <c r="K129" s="506"/>
      <c r="L129" s="159"/>
      <c r="M129" s="506"/>
      <c r="N129" s="202"/>
    </row>
    <row r="130" spans="2:14" ht="15.75" hidden="1" customHeight="1" x14ac:dyDescent="0.25">
      <c r="B130" s="51" t="s">
        <v>20</v>
      </c>
      <c r="C130" s="115" t="e">
        <f>(1000/D77)-10</f>
        <v>#DIV/0!</v>
      </c>
      <c r="D130" s="506"/>
      <c r="E130" s="857" t="s">
        <v>47</v>
      </c>
      <c r="F130" s="858"/>
      <c r="G130" s="858"/>
      <c r="H130" s="858"/>
      <c r="I130" s="858"/>
      <c r="J130" s="858"/>
      <c r="K130" s="858"/>
      <c r="L130" s="858"/>
      <c r="M130" s="858"/>
      <c r="N130" s="859"/>
    </row>
    <row r="131" spans="2:14" ht="19.5" hidden="1" customHeight="1" x14ac:dyDescent="0.25">
      <c r="B131" s="188" t="s">
        <v>330</v>
      </c>
      <c r="C131" s="76" t="e">
        <f>($D$11-(0.2*$C$130))^2/($D$11+(0.8*$C$130))</f>
        <v>#DIV/0!</v>
      </c>
      <c r="D131" s="506"/>
      <c r="E131" s="282"/>
      <c r="F131" s="272"/>
      <c r="G131" s="269" t="s">
        <v>61</v>
      </c>
      <c r="H131" s="273" t="e">
        <f>N133</f>
        <v>#DIV/0!</v>
      </c>
      <c r="I131" s="269" t="s">
        <v>36</v>
      </c>
      <c r="J131" s="506"/>
      <c r="K131" s="511" t="s">
        <v>141</v>
      </c>
      <c r="L131" s="190" t="e">
        <f>IF(H73&gt;0.475,$J$147,IF(H73&gt;0.425,$J$146,IF(H73&gt;0.375,$J$145,IF(H73&gt;0.325,$J$144,IF(H73&gt;0.2,$J$143,$J$142)))))</f>
        <v>#DIV/0!</v>
      </c>
      <c r="M131" s="506"/>
      <c r="N131" s="202"/>
    </row>
    <row r="132" spans="2:14" ht="19.5" hidden="1" customHeight="1" x14ac:dyDescent="0.35">
      <c r="B132" s="188" t="s">
        <v>331</v>
      </c>
      <c r="C132" s="76" t="e">
        <f>($D$12-(0.2*$C$130))^2/($D$12+(0.8*$C$130))</f>
        <v>#DIV/0!</v>
      </c>
      <c r="D132" s="506"/>
      <c r="E132" s="265"/>
      <c r="F132" s="283"/>
      <c r="G132" s="269" t="s">
        <v>62</v>
      </c>
      <c r="H132" s="275">
        <f>(H9/640)</f>
        <v>0</v>
      </c>
      <c r="I132" s="269" t="s">
        <v>63</v>
      </c>
      <c r="J132" s="506"/>
      <c r="K132" s="511" t="s">
        <v>142</v>
      </c>
      <c r="L132" s="192" t="e">
        <f>IF($L$131=J142,K142,IF($L$131=J143,K143,IF($L$131=J144,K144,IF($L$131=J145,K145,IF($L$131=J146,K146,IF($L$131=J147,K147,""))))))</f>
        <v>#DIV/0!</v>
      </c>
      <c r="M132" s="165" t="s">
        <v>145</v>
      </c>
      <c r="N132" s="202" t="e">
        <f>L132+(L133*LOG(N134))+(L134*((LOG(N134))^2))</f>
        <v>#DIV/0!</v>
      </c>
    </row>
    <row r="133" spans="2:14" ht="20.25" hidden="1" customHeight="1" thickBot="1" x14ac:dyDescent="0.4">
      <c r="B133" s="193" t="s">
        <v>332</v>
      </c>
      <c r="C133" s="138" t="e">
        <f>($D$13-(0.2*$C$130))^2/($D$13+(0.8*$C$130))</f>
        <v>#DIV/0!</v>
      </c>
      <c r="D133" s="506"/>
      <c r="E133" s="276" t="s">
        <v>151</v>
      </c>
      <c r="F133" s="277" t="e">
        <f>($H$15/$H$9)*100</f>
        <v>#DIV/0!</v>
      </c>
      <c r="G133" s="278" t="s">
        <v>169</v>
      </c>
      <c r="H133" s="273" t="e">
        <f>IF(F133&gt;4.44,$N$157,IF(F133&gt;2.44,$N$156,IF(F133&gt;0.45,$N$155,IF(F133&gt;0.144,$N$154,1))))</f>
        <v>#DIV/0!</v>
      </c>
      <c r="I133" s="279" t="s">
        <v>38</v>
      </c>
      <c r="J133" s="506"/>
      <c r="K133" s="511" t="s">
        <v>143</v>
      </c>
      <c r="L133" s="192" t="e">
        <f>IF($L$131=J142,L142,IF($L$131=J143,L143,IF($L$131=J144,L144,IF($L$131=J145,L145,IF($L$131=J146,L146,IF($L$131=J147,L147,""))))))</f>
        <v>#DIV/0!</v>
      </c>
      <c r="M133" s="165" t="s">
        <v>146</v>
      </c>
      <c r="N133" s="202" t="e">
        <f>10^N132</f>
        <v>#DIV/0!</v>
      </c>
    </row>
    <row r="134" spans="2:14" ht="19.5" hidden="1" customHeight="1" x14ac:dyDescent="0.35">
      <c r="B134" s="74"/>
      <c r="C134" s="93"/>
      <c r="D134" s="194"/>
      <c r="E134" s="276"/>
      <c r="F134" s="277"/>
      <c r="G134" s="278"/>
      <c r="H134" s="273"/>
      <c r="I134" s="279"/>
      <c r="J134" s="506"/>
      <c r="K134" s="511" t="s">
        <v>144</v>
      </c>
      <c r="L134" s="192" t="e">
        <f>IF($L$131=J142,M142,IF($L$131=J143,M143,IF($L$131=J144,M144,IF($L$131=J145,M145,IF($L$131=J146,M146,IF($L$131=J147,M147,""))))))</f>
        <v>#DIV/0!</v>
      </c>
      <c r="M134" s="165" t="s">
        <v>72</v>
      </c>
      <c r="N134" s="235">
        <f>H70</f>
        <v>0</v>
      </c>
    </row>
    <row r="135" spans="2:14" ht="18.75" hidden="1" customHeight="1" x14ac:dyDescent="0.25">
      <c r="B135" s="74"/>
      <c r="C135" s="93"/>
      <c r="D135" s="194"/>
      <c r="E135" s="276"/>
      <c r="F135" s="277"/>
      <c r="G135" s="279" t="s">
        <v>37</v>
      </c>
      <c r="H135" s="280" t="e">
        <f>$H$132*$C$131*$H$133*$H$131</f>
        <v>#DIV/0!</v>
      </c>
      <c r="I135" s="279" t="s">
        <v>38</v>
      </c>
      <c r="J135" s="506"/>
      <c r="K135" s="511"/>
      <c r="L135" s="192"/>
      <c r="M135" s="165"/>
      <c r="N135" s="235"/>
    </row>
    <row r="136" spans="2:14" ht="18.75" hidden="1" customHeight="1" x14ac:dyDescent="0.25">
      <c r="B136" s="74"/>
      <c r="C136" s="93"/>
      <c r="D136" s="194"/>
      <c r="E136" s="276"/>
      <c r="F136" s="277"/>
      <c r="G136" s="279" t="s">
        <v>327</v>
      </c>
      <c r="H136" s="280" t="e">
        <f>$H$132*$C$132*$H$133*$H$131</f>
        <v>#DIV/0!</v>
      </c>
      <c r="I136" s="279" t="s">
        <v>38</v>
      </c>
      <c r="J136" s="506"/>
      <c r="K136" s="511"/>
      <c r="L136" s="192"/>
      <c r="M136" s="165"/>
      <c r="N136" s="235"/>
    </row>
    <row r="137" spans="2:14" ht="19.5" hidden="1" customHeight="1" thickBot="1" x14ac:dyDescent="0.25">
      <c r="B137" s="195"/>
      <c r="C137" s="75"/>
      <c r="D137" s="506"/>
      <c r="E137" s="211"/>
      <c r="F137" s="501"/>
      <c r="G137" s="285" t="s">
        <v>328</v>
      </c>
      <c r="H137" s="284" t="e">
        <f>$H$132*$C$133*$H$133*$H$131</f>
        <v>#DIV/0!</v>
      </c>
      <c r="I137" s="285" t="s">
        <v>38</v>
      </c>
      <c r="J137" s="501"/>
      <c r="K137" s="501"/>
      <c r="L137" s="236"/>
      <c r="M137" s="501"/>
      <c r="N137" s="222"/>
    </row>
    <row r="138" spans="2:14" ht="15.75" hidden="1" customHeight="1" thickBot="1" x14ac:dyDescent="0.25">
      <c r="B138" s="507"/>
      <c r="C138" s="507"/>
      <c r="D138" s="507"/>
      <c r="E138" s="160"/>
      <c r="F138" s="160"/>
      <c r="G138" s="160"/>
      <c r="H138" s="507"/>
      <c r="I138" s="198"/>
      <c r="J138" s="506"/>
      <c r="K138" s="506"/>
      <c r="L138" s="159"/>
      <c r="M138" s="506"/>
      <c r="N138" s="465"/>
    </row>
    <row r="139" spans="2:14" ht="15.75" hidden="1" customHeight="1" thickBot="1" x14ac:dyDescent="0.25">
      <c r="B139" s="507"/>
      <c r="C139" s="507"/>
      <c r="D139" s="507"/>
      <c r="E139" s="160"/>
      <c r="F139" s="160"/>
      <c r="G139" s="160"/>
      <c r="H139" s="507"/>
      <c r="I139" s="198"/>
      <c r="J139" s="871" t="s">
        <v>152</v>
      </c>
      <c r="K139" s="872"/>
      <c r="L139" s="872"/>
      <c r="M139" s="873"/>
      <c r="N139" s="466"/>
    </row>
    <row r="140" spans="2:14" ht="15.75" hidden="1" customHeight="1" thickBot="1" x14ac:dyDescent="0.25">
      <c r="B140" s="840" t="s">
        <v>84</v>
      </c>
      <c r="C140" s="841"/>
      <c r="D140" s="841"/>
      <c r="E140" s="841"/>
      <c r="F140" s="841"/>
      <c r="G140" s="842"/>
      <c r="H140" s="507"/>
      <c r="I140" s="198"/>
      <c r="J140" s="874"/>
      <c r="K140" s="875"/>
      <c r="L140" s="875"/>
      <c r="M140" s="876"/>
      <c r="N140" s="467"/>
    </row>
    <row r="141" spans="2:14" ht="15.75" hidden="1" customHeight="1" thickBot="1" x14ac:dyDescent="0.25">
      <c r="B141" s="846"/>
      <c r="C141" s="847"/>
      <c r="D141" s="847"/>
      <c r="E141" s="847"/>
      <c r="F141" s="847"/>
      <c r="G141" s="848"/>
      <c r="H141" s="507"/>
      <c r="I141" s="198"/>
      <c r="J141" s="91" t="s">
        <v>135</v>
      </c>
      <c r="K141" s="92" t="s">
        <v>136</v>
      </c>
      <c r="L141" s="92" t="s">
        <v>137</v>
      </c>
      <c r="M141" s="468" t="s">
        <v>525</v>
      </c>
      <c r="N141" s="469"/>
    </row>
    <row r="142" spans="2:14" ht="15.75" hidden="1" customHeight="1" x14ac:dyDescent="0.2">
      <c r="B142" s="199" t="s">
        <v>81</v>
      </c>
      <c r="C142" s="200"/>
      <c r="D142" s="200"/>
      <c r="E142" s="200"/>
      <c r="F142" s="200"/>
      <c r="G142" s="201" t="s">
        <v>82</v>
      </c>
      <c r="H142" s="507"/>
      <c r="I142" s="198"/>
      <c r="J142" s="88">
        <v>0.1</v>
      </c>
      <c r="K142" s="87">
        <v>2.5532300000000001</v>
      </c>
      <c r="L142" s="87">
        <v>-0.61512</v>
      </c>
      <c r="M142" s="470">
        <v>-0.16403000000000001</v>
      </c>
      <c r="N142" s="469"/>
    </row>
    <row r="143" spans="2:14" ht="15" hidden="1" customHeight="1" x14ac:dyDescent="0.2">
      <c r="B143" s="178" t="s">
        <v>91</v>
      </c>
      <c r="C143" s="146"/>
      <c r="D143" s="146"/>
      <c r="E143" s="146"/>
      <c r="F143" s="146"/>
      <c r="G143" s="202">
        <v>1.0999999999999999E-2</v>
      </c>
      <c r="H143" s="507"/>
      <c r="I143" s="198"/>
      <c r="J143" s="88">
        <v>0.3</v>
      </c>
      <c r="K143" s="87">
        <v>2.4653200000000002</v>
      </c>
      <c r="L143" s="87">
        <v>-0.62256999999999996</v>
      </c>
      <c r="M143" s="470">
        <v>-0.11656999999999999</v>
      </c>
      <c r="N143" s="469"/>
    </row>
    <row r="144" spans="2:14" ht="15" hidden="1" customHeight="1" x14ac:dyDescent="0.2">
      <c r="B144" s="178" t="s">
        <v>83</v>
      </c>
      <c r="C144" s="146"/>
      <c r="D144" s="146"/>
      <c r="E144" s="146"/>
      <c r="F144" s="146"/>
      <c r="G144" s="202">
        <v>0.24</v>
      </c>
      <c r="H144" s="507"/>
      <c r="I144" s="198"/>
      <c r="J144" s="88">
        <v>0.35</v>
      </c>
      <c r="K144" s="87">
        <v>2.4189600000000002</v>
      </c>
      <c r="L144" s="87">
        <v>-0.61594000000000004</v>
      </c>
      <c r="M144" s="470">
        <v>-8.8200000000000001E-2</v>
      </c>
      <c r="N144" s="469"/>
    </row>
    <row r="145" spans="2:14" ht="15.75" hidden="1" customHeight="1" thickBot="1" x14ac:dyDescent="0.25">
      <c r="B145" s="203" t="s">
        <v>13</v>
      </c>
      <c r="C145" s="204"/>
      <c r="D145" s="204"/>
      <c r="E145" s="204"/>
      <c r="F145" s="204"/>
      <c r="G145" s="205">
        <v>0.4</v>
      </c>
      <c r="H145" s="507"/>
      <c r="I145" s="198"/>
      <c r="J145" s="88">
        <v>0.4</v>
      </c>
      <c r="K145" s="87">
        <v>2.36409</v>
      </c>
      <c r="L145" s="87">
        <v>-0.59857000000000005</v>
      </c>
      <c r="M145" s="470">
        <v>-5.6210000000000003E-2</v>
      </c>
      <c r="N145" s="471"/>
    </row>
    <row r="146" spans="2:14" ht="15.75" hidden="1" customHeight="1" thickBot="1" x14ac:dyDescent="0.25">
      <c r="B146" s="507"/>
      <c r="C146" s="507"/>
      <c r="D146" s="507"/>
      <c r="E146" s="160"/>
      <c r="F146" s="160"/>
      <c r="G146" s="160"/>
      <c r="H146" s="507"/>
      <c r="I146" s="198"/>
      <c r="J146" s="88">
        <v>0.45</v>
      </c>
      <c r="K146" s="87">
        <v>2.2923800000000001</v>
      </c>
      <c r="L146" s="87">
        <v>-0.57004999999999995</v>
      </c>
      <c r="M146" s="470">
        <v>-2.281E-2</v>
      </c>
      <c r="N146" s="472"/>
    </row>
    <row r="147" spans="2:14" ht="15.75" hidden="1" customHeight="1" thickBot="1" x14ac:dyDescent="0.25">
      <c r="B147" s="840" t="s">
        <v>216</v>
      </c>
      <c r="C147" s="841"/>
      <c r="D147" s="841"/>
      <c r="E147" s="841"/>
      <c r="F147" s="841"/>
      <c r="G147" s="842"/>
      <c r="H147" s="507"/>
      <c r="I147" s="198"/>
      <c r="J147" s="89">
        <v>0.5</v>
      </c>
      <c r="K147" s="90">
        <v>2.20282</v>
      </c>
      <c r="L147" s="90">
        <v>-0.51598999999999995</v>
      </c>
      <c r="M147" s="473">
        <v>-1.259E-2</v>
      </c>
      <c r="N147" s="474"/>
    </row>
    <row r="148" spans="2:14" ht="15.75" hidden="1" customHeight="1" thickBot="1" x14ac:dyDescent="0.25">
      <c r="B148" s="843"/>
      <c r="C148" s="844"/>
      <c r="D148" s="844"/>
      <c r="E148" s="844"/>
      <c r="F148" s="844"/>
      <c r="G148" s="845"/>
      <c r="H148" s="507"/>
      <c r="I148" s="198"/>
      <c r="J148" s="105"/>
      <c r="K148" s="112"/>
      <c r="L148" s="107"/>
      <c r="M148" s="106"/>
      <c r="N148" s="474"/>
    </row>
    <row r="149" spans="2:14" ht="15.75" hidden="1" customHeight="1" thickBot="1" x14ac:dyDescent="0.25">
      <c r="B149" s="846"/>
      <c r="C149" s="847"/>
      <c r="D149" s="847"/>
      <c r="E149" s="847"/>
      <c r="F149" s="847"/>
      <c r="G149" s="848"/>
      <c r="H149" s="507"/>
      <c r="I149" s="877" t="s">
        <v>148</v>
      </c>
      <c r="J149" s="841"/>
      <c r="K149" s="841"/>
      <c r="L149" s="841"/>
      <c r="M149" s="841"/>
      <c r="N149" s="878"/>
    </row>
    <row r="150" spans="2:14" ht="15.75" hidden="1" customHeight="1" x14ac:dyDescent="0.25">
      <c r="B150" s="207" t="s">
        <v>117</v>
      </c>
      <c r="C150" s="512"/>
      <c r="D150" s="512"/>
      <c r="E150" s="512"/>
      <c r="F150" s="512"/>
      <c r="G150" s="208" t="s">
        <v>82</v>
      </c>
      <c r="H150" s="507"/>
      <c r="I150" s="879"/>
      <c r="J150" s="844"/>
      <c r="K150" s="844"/>
      <c r="L150" s="844"/>
      <c r="M150" s="844"/>
      <c r="N150" s="880"/>
    </row>
    <row r="151" spans="2:14" ht="15.75" hidden="1" customHeight="1" thickBot="1" x14ac:dyDescent="0.25">
      <c r="B151" s="509" t="s">
        <v>118</v>
      </c>
      <c r="C151" s="506"/>
      <c r="D151" s="506"/>
      <c r="E151" s="506"/>
      <c r="F151" s="506"/>
      <c r="G151" s="202">
        <v>1.6E-2</v>
      </c>
      <c r="H151" s="507"/>
      <c r="I151" s="881"/>
      <c r="J151" s="847"/>
      <c r="K151" s="847"/>
      <c r="L151" s="847"/>
      <c r="M151" s="847"/>
      <c r="N151" s="882"/>
    </row>
    <row r="152" spans="2:14" ht="18.75" hidden="1" customHeight="1" x14ac:dyDescent="0.25">
      <c r="B152" s="509" t="s">
        <v>119</v>
      </c>
      <c r="C152" s="506"/>
      <c r="D152" s="506"/>
      <c r="E152" s="506"/>
      <c r="F152" s="506"/>
      <c r="G152" s="202">
        <v>1.2E-2</v>
      </c>
      <c r="H152" s="507"/>
      <c r="I152" s="209" t="s">
        <v>147</v>
      </c>
      <c r="J152" s="512"/>
      <c r="K152" s="512"/>
      <c r="L152" s="197"/>
      <c r="M152" s="512"/>
      <c r="N152" s="475" t="s">
        <v>526</v>
      </c>
    </row>
    <row r="153" spans="2:14" ht="15" hidden="1" customHeight="1" x14ac:dyDescent="0.2">
      <c r="B153" s="509" t="s">
        <v>120</v>
      </c>
      <c r="C153" s="506"/>
      <c r="D153" s="506"/>
      <c r="E153" s="506"/>
      <c r="F153" s="506"/>
      <c r="G153" s="202">
        <v>1.4E-2</v>
      </c>
      <c r="H153" s="507"/>
      <c r="I153" s="210">
        <v>0</v>
      </c>
      <c r="J153" s="506"/>
      <c r="K153" s="506"/>
      <c r="L153" s="160" t="s">
        <v>153</v>
      </c>
      <c r="M153" s="506"/>
      <c r="N153" s="476">
        <v>1</v>
      </c>
    </row>
    <row r="154" spans="2:14" ht="15" hidden="1" customHeight="1" x14ac:dyDescent="0.2">
      <c r="B154" s="509" t="s">
        <v>83</v>
      </c>
      <c r="C154" s="506"/>
      <c r="D154" s="506"/>
      <c r="E154" s="506"/>
      <c r="F154" s="506"/>
      <c r="G154" s="202">
        <v>3.5000000000000003E-2</v>
      </c>
      <c r="H154" s="507"/>
      <c r="I154" s="210">
        <v>0.2</v>
      </c>
      <c r="J154" s="506"/>
      <c r="K154" s="506"/>
      <c r="L154" s="159" t="s">
        <v>157</v>
      </c>
      <c r="M154" s="506"/>
      <c r="N154" s="477">
        <v>0.97</v>
      </c>
    </row>
    <row r="155" spans="2:14" ht="15" hidden="1" customHeight="1" x14ac:dyDescent="0.2">
      <c r="B155" s="509" t="s">
        <v>122</v>
      </c>
      <c r="C155" s="506"/>
      <c r="D155" s="506"/>
      <c r="E155" s="506"/>
      <c r="F155" s="506"/>
      <c r="G155" s="202">
        <v>3.3000000000000002E-2</v>
      </c>
      <c r="H155" s="507"/>
      <c r="I155" s="210">
        <v>1</v>
      </c>
      <c r="J155" s="506"/>
      <c r="K155" s="506"/>
      <c r="L155" s="159" t="s">
        <v>156</v>
      </c>
      <c r="M155" s="506"/>
      <c r="N155" s="477">
        <v>0.87</v>
      </c>
    </row>
    <row r="156" spans="2:14" ht="15.75" hidden="1" customHeight="1" thickBot="1" x14ac:dyDescent="0.25">
      <c r="B156" s="211" t="s">
        <v>121</v>
      </c>
      <c r="C156" s="501"/>
      <c r="D156" s="501"/>
      <c r="E156" s="501"/>
      <c r="F156" s="501"/>
      <c r="G156" s="213">
        <v>0.04</v>
      </c>
      <c r="H156" s="507"/>
      <c r="I156" s="210">
        <v>3</v>
      </c>
      <c r="J156" s="506"/>
      <c r="K156" s="506"/>
      <c r="L156" s="159" t="s">
        <v>155</v>
      </c>
      <c r="M156" s="506"/>
      <c r="N156" s="477">
        <v>0.75</v>
      </c>
    </row>
    <row r="157" spans="2:14" ht="15" hidden="1" customHeight="1" x14ac:dyDescent="0.2">
      <c r="B157" s="507"/>
      <c r="C157" s="507"/>
      <c r="D157" s="507"/>
      <c r="E157" s="160"/>
      <c r="F157" s="160"/>
      <c r="G157" s="160"/>
      <c r="H157" s="507"/>
      <c r="I157" s="210">
        <v>5</v>
      </c>
      <c r="J157" s="506"/>
      <c r="K157" s="506"/>
      <c r="L157" s="214" t="s">
        <v>154</v>
      </c>
      <c r="M157" s="506"/>
      <c r="N157" s="477">
        <v>0.72</v>
      </c>
    </row>
    <row r="158" spans="2:14" ht="15.75" hidden="1" customHeight="1" x14ac:dyDescent="0.25">
      <c r="B158" s="215" t="s">
        <v>46</v>
      </c>
      <c r="C158" s="216"/>
      <c r="D158" s="216"/>
      <c r="E158" s="217"/>
      <c r="F158" s="217"/>
      <c r="G158" s="217"/>
      <c r="H158" s="216"/>
      <c r="I158" s="218"/>
      <c r="J158" s="117"/>
      <c r="K158" s="116"/>
      <c r="L158" s="107"/>
      <c r="M158" s="478"/>
      <c r="N158" s="474"/>
    </row>
    <row r="159" spans="2:14" ht="15.75" hidden="1" customHeight="1" thickBot="1" x14ac:dyDescent="0.25">
      <c r="B159" s="219" t="s">
        <v>102</v>
      </c>
      <c r="C159" s="216"/>
      <c r="D159" s="216"/>
      <c r="E159" s="217"/>
      <c r="F159" s="217"/>
      <c r="G159" s="217"/>
      <c r="H159" s="216"/>
      <c r="I159" s="220"/>
      <c r="J159" s="118"/>
      <c r="K159" s="119"/>
      <c r="L159" s="108"/>
      <c r="M159" s="479"/>
      <c r="N159" s="480"/>
    </row>
    <row r="160" spans="2:14" ht="15.75" hidden="1" customHeight="1" thickTop="1" x14ac:dyDescent="0.2">
      <c r="B160" s="219" t="s">
        <v>103</v>
      </c>
      <c r="C160" s="216"/>
      <c r="D160" s="216"/>
      <c r="E160" s="217"/>
      <c r="F160" s="217"/>
      <c r="G160" s="217"/>
      <c r="H160" s="216"/>
      <c r="I160" s="216"/>
      <c r="J160" s="117"/>
      <c r="K160" s="120"/>
      <c r="L160" s="109"/>
    </row>
    <row r="161" spans="2:14" ht="15" hidden="1" customHeight="1" x14ac:dyDescent="0.2">
      <c r="B161" s="216"/>
      <c r="C161" s="216"/>
      <c r="D161" s="216"/>
      <c r="E161" s="217"/>
      <c r="F161" s="217"/>
      <c r="G161" s="217"/>
      <c r="H161" s="216"/>
      <c r="I161" s="117"/>
      <c r="J161" s="107"/>
      <c r="K161" s="106"/>
      <c r="L161" s="110"/>
    </row>
    <row r="162" spans="2:14" ht="15.75" hidden="1" customHeight="1" thickBot="1" x14ac:dyDescent="0.25">
      <c r="B162" s="216"/>
      <c r="C162" s="217"/>
      <c r="D162" s="217"/>
      <c r="E162" s="217"/>
      <c r="F162" s="216"/>
      <c r="G162" s="216"/>
      <c r="H162" s="117"/>
      <c r="I162" s="111"/>
      <c r="J162" s="105"/>
      <c r="K162" s="206"/>
      <c r="L162" s="507"/>
    </row>
    <row r="163" spans="2:14" ht="16.5" hidden="1" customHeight="1" thickBot="1" x14ac:dyDescent="0.3">
      <c r="B163" s="852" t="s">
        <v>206</v>
      </c>
      <c r="C163" s="853"/>
      <c r="D163" s="853"/>
      <c r="E163" s="853"/>
      <c r="F163" s="854"/>
      <c r="G163" s="514"/>
      <c r="H163" s="514"/>
      <c r="I163" s="507"/>
      <c r="J163" s="542"/>
      <c r="K163" s="543" t="s">
        <v>532</v>
      </c>
      <c r="L163" s="544"/>
    </row>
    <row r="164" spans="2:14" ht="15" hidden="1" customHeight="1" x14ac:dyDescent="0.2">
      <c r="B164" s="517"/>
      <c r="C164" s="510"/>
      <c r="D164" s="510"/>
      <c r="E164" s="510"/>
      <c r="F164" s="518"/>
      <c r="G164" s="514"/>
      <c r="H164" s="514"/>
      <c r="I164" s="507"/>
      <c r="J164" s="530"/>
      <c r="K164" s="512"/>
      <c r="L164" s="522"/>
    </row>
    <row r="165" spans="2:14" ht="19.5" hidden="1" customHeight="1" x14ac:dyDescent="0.35">
      <c r="B165" s="509" t="s">
        <v>533</v>
      </c>
      <c r="C165" s="510"/>
      <c r="D165" s="510"/>
      <c r="E165" s="510"/>
      <c r="F165" s="518"/>
      <c r="G165" s="508"/>
      <c r="H165" s="514"/>
      <c r="I165" s="507"/>
      <c r="J165" s="509" t="s">
        <v>534</v>
      </c>
      <c r="K165" s="506"/>
      <c r="L165" s="513"/>
    </row>
    <row r="166" spans="2:14" ht="15" hidden="1" customHeight="1" x14ac:dyDescent="0.2">
      <c r="B166" s="509"/>
      <c r="C166" s="510"/>
      <c r="D166" s="510"/>
      <c r="E166" s="510"/>
      <c r="F166" s="518"/>
      <c r="G166" s="508"/>
      <c r="H166" s="514"/>
      <c r="I166" s="507"/>
      <c r="J166" s="509" t="s">
        <v>535</v>
      </c>
      <c r="K166" s="506"/>
      <c r="L166" s="513"/>
    </row>
    <row r="167" spans="2:14" ht="15" hidden="1" customHeight="1" x14ac:dyDescent="0.2">
      <c r="B167" s="524" t="s">
        <v>536</v>
      </c>
      <c r="C167" s="549">
        <f>SUM(H25:K26)</f>
        <v>0</v>
      </c>
      <c r="D167" s="510"/>
      <c r="E167" s="524" t="s">
        <v>537</v>
      </c>
      <c r="F167" s="533">
        <f>SUM(H17:K24)</f>
        <v>0</v>
      </c>
      <c r="G167" s="547" t="s">
        <v>538</v>
      </c>
      <c r="H167" s="514"/>
      <c r="I167" s="507"/>
      <c r="J167" s="509" t="s">
        <v>539</v>
      </c>
      <c r="K167" s="506"/>
      <c r="L167" s="513"/>
    </row>
    <row r="168" spans="2:14" ht="19.5" hidden="1" customHeight="1" x14ac:dyDescent="0.35">
      <c r="B168" s="519" t="s">
        <v>540</v>
      </c>
      <c r="C168" s="515">
        <f>(1000/98)-10</f>
        <v>0.20408163265306101</v>
      </c>
      <c r="D168" s="510"/>
      <c r="E168" s="505" t="s">
        <v>380</v>
      </c>
      <c r="F168" s="520" t="e">
        <f>IF(I109&gt;64,(1000/I109)-10,0)</f>
        <v>#DIV/0!</v>
      </c>
      <c r="G168" s="514"/>
      <c r="H168" s="514"/>
      <c r="I168" s="507"/>
      <c r="J168" s="509" t="s">
        <v>541</v>
      </c>
      <c r="K168" s="506"/>
      <c r="L168" s="513"/>
    </row>
    <row r="169" spans="2:14" ht="20.25" hidden="1" customHeight="1" thickBot="1" x14ac:dyDescent="0.25">
      <c r="B169" s="519" t="s">
        <v>542</v>
      </c>
      <c r="C169" s="516">
        <f>(1-(0.2*$C$168))^2/(1+(0.8*$C$168))</f>
        <v>0.79090583601861819</v>
      </c>
      <c r="D169" s="510"/>
      <c r="E169" s="505" t="s">
        <v>381</v>
      </c>
      <c r="F169" s="548" t="e">
        <f>IF(I109&gt;64,(1-(0.2*F168))^2/(1+(0.8*F168)),0)</f>
        <v>#DIV/0!</v>
      </c>
      <c r="G169" s="514"/>
      <c r="H169" s="514"/>
      <c r="I169" s="523"/>
      <c r="J169" s="538"/>
      <c r="K169" s="511" t="s">
        <v>543</v>
      </c>
      <c r="L169" s="539" t="e">
        <f>(SUM(H25:K26))/H9</f>
        <v>#DIV/0!</v>
      </c>
      <c r="M169" s="507" t="s">
        <v>544</v>
      </c>
    </row>
    <row r="170" spans="2:14" s="497" customFormat="1" ht="24" hidden="1" customHeight="1" thickBot="1" x14ac:dyDescent="0.4">
      <c r="B170" s="524" t="s">
        <v>545</v>
      </c>
      <c r="C170" s="545">
        <f>(C169/12)*(C167*43560)</f>
        <v>0</v>
      </c>
      <c r="D170" s="511"/>
      <c r="E170" s="511" t="s">
        <v>545</v>
      </c>
      <c r="F170" s="546" t="e">
        <f>(F169/12)*(F167*43560)</f>
        <v>#DIV/0!</v>
      </c>
      <c r="G170" s="530" t="s">
        <v>546</v>
      </c>
      <c r="H170" s="521"/>
      <c r="I170" s="536"/>
      <c r="J170" s="540"/>
      <c r="K170" s="511" t="s">
        <v>547</v>
      </c>
      <c r="L170" s="539" t="e">
        <f>0.05+(0.9*L169)</f>
        <v>#DIV/0!</v>
      </c>
      <c r="M170" s="523"/>
      <c r="N170" s="523"/>
    </row>
    <row r="171" spans="2:14" s="497" customFormat="1" ht="24" hidden="1" customHeight="1" thickBot="1" x14ac:dyDescent="0.4">
      <c r="B171" s="524" t="s">
        <v>382</v>
      </c>
      <c r="C171" s="525" t="e">
        <f>(C169*C167+F169*F167)/H10</f>
        <v>#DIV/0!</v>
      </c>
      <c r="D171" s="526"/>
      <c r="E171" s="510"/>
      <c r="F171" s="518"/>
      <c r="G171" s="552" t="e">
        <f>C170+F170</f>
        <v>#DIV/0!</v>
      </c>
      <c r="H171" s="532"/>
      <c r="I171" s="506" t="s">
        <v>548</v>
      </c>
      <c r="J171" s="540"/>
      <c r="K171" s="534" t="s">
        <v>549</v>
      </c>
      <c r="L171" s="535" t="e">
        <f>3630*1*L170*H9</f>
        <v>#DIV/0!</v>
      </c>
      <c r="M171" s="523"/>
      <c r="N171" s="523"/>
    </row>
    <row r="172" spans="2:14" s="497" customFormat="1" ht="15.75" hidden="1" customHeight="1" thickBot="1" x14ac:dyDescent="0.25">
      <c r="B172" s="527"/>
      <c r="C172" s="528"/>
      <c r="D172" s="528"/>
      <c r="E172" s="528"/>
      <c r="F172" s="529"/>
      <c r="G172" s="527"/>
      <c r="H172" s="528"/>
      <c r="I172" s="537"/>
      <c r="J172" s="541"/>
      <c r="K172" s="537"/>
      <c r="L172" s="531"/>
      <c r="M172" s="523"/>
      <c r="N172" s="523"/>
    </row>
    <row r="173" spans="2:14" s="497" customFormat="1" ht="15" hidden="1" customHeight="1" x14ac:dyDescent="0.2">
      <c r="B173" s="868" t="s">
        <v>161</v>
      </c>
      <c r="C173" s="868"/>
      <c r="D173" s="868"/>
      <c r="E173" s="868"/>
      <c r="F173" s="523"/>
      <c r="G173" s="523"/>
      <c r="H173" s="523"/>
      <c r="I173" s="523"/>
      <c r="J173" s="523"/>
      <c r="K173" s="523"/>
      <c r="L173" s="523"/>
      <c r="M173" s="523"/>
      <c r="N173" s="523"/>
    </row>
    <row r="174" spans="2:14" s="497" customFormat="1" ht="15.75" hidden="1" customHeight="1" thickBot="1" x14ac:dyDescent="0.25">
      <c r="B174" s="868"/>
      <c r="C174" s="868"/>
      <c r="D174" s="868"/>
      <c r="E174" s="868"/>
      <c r="F174" s="523"/>
      <c r="G174" s="523"/>
      <c r="H174" s="523"/>
      <c r="I174" s="507"/>
      <c r="J174" s="523"/>
      <c r="K174" s="523"/>
      <c r="L174" s="523"/>
      <c r="M174" s="523"/>
      <c r="N174" s="523"/>
    </row>
    <row r="175" spans="2:14" s="497" customFormat="1" ht="16.5" hidden="1" customHeight="1" thickBot="1" x14ac:dyDescent="0.3">
      <c r="B175" s="351"/>
      <c r="C175" s="352"/>
      <c r="D175" s="353"/>
      <c r="E175" s="351"/>
      <c r="F175" s="523"/>
      <c r="G175" s="523"/>
      <c r="H175" s="523"/>
      <c r="I175" s="507" t="s">
        <v>550</v>
      </c>
      <c r="J175" s="523"/>
      <c r="K175" s="551" t="e">
        <f>IF(G171&gt;L171,G171,L171)</f>
        <v>#DIV/0!</v>
      </c>
      <c r="L175" s="507" t="s">
        <v>551</v>
      </c>
      <c r="M175" s="523"/>
      <c r="N175" s="523"/>
    </row>
    <row r="176" spans="2:14" s="497" customFormat="1" ht="19.5" hidden="1" customHeight="1" x14ac:dyDescent="0.2">
      <c r="B176" s="833" t="s">
        <v>227</v>
      </c>
      <c r="C176" s="833"/>
      <c r="D176" s="833"/>
      <c r="E176" s="833"/>
      <c r="F176" s="507"/>
      <c r="G176" s="523"/>
      <c r="H176" s="349"/>
      <c r="I176" s="350"/>
      <c r="J176" s="523"/>
      <c r="K176" s="523"/>
      <c r="L176" s="523"/>
      <c r="M176" s="523"/>
      <c r="N176" s="523"/>
    </row>
    <row r="177" spans="2:14" s="497" customFormat="1" ht="15" hidden="1" customHeight="1" x14ac:dyDescent="0.2">
      <c r="B177" s="834" t="s">
        <v>33</v>
      </c>
      <c r="C177" s="834"/>
      <c r="D177" s="834"/>
      <c r="E177" s="834"/>
      <c r="F177" s="523"/>
      <c r="G177" s="523"/>
      <c r="H177" s="523"/>
      <c r="I177" s="523"/>
      <c r="J177" s="523"/>
      <c r="K177" s="523"/>
      <c r="L177" s="523"/>
      <c r="M177" s="523"/>
      <c r="N177" s="523"/>
    </row>
    <row r="178" spans="2:14" s="497" customFormat="1" ht="19.5" hidden="1" customHeight="1" x14ac:dyDescent="0.2">
      <c r="B178" s="833" t="s">
        <v>228</v>
      </c>
      <c r="C178" s="833"/>
      <c r="D178" s="833"/>
      <c r="E178" s="833"/>
      <c r="F178" s="523"/>
      <c r="G178" s="523"/>
      <c r="H178" s="523"/>
      <c r="I178" s="523"/>
      <c r="J178" s="523"/>
      <c r="K178" s="523"/>
      <c r="L178" s="523"/>
      <c r="M178" s="523"/>
      <c r="N178" s="523"/>
    </row>
    <row r="179" spans="2:14" s="497" customFormat="1" ht="19.5" hidden="1" customHeight="1" x14ac:dyDescent="0.2">
      <c r="B179" s="833" t="s">
        <v>224</v>
      </c>
      <c r="C179" s="833"/>
      <c r="D179" s="833"/>
      <c r="E179" s="833"/>
      <c r="F179" s="523"/>
      <c r="G179" s="523"/>
      <c r="H179" s="523"/>
      <c r="I179" s="523"/>
      <c r="J179" s="523"/>
      <c r="K179" s="523"/>
      <c r="L179" s="523"/>
      <c r="M179" s="523"/>
      <c r="N179" s="523"/>
    </row>
    <row r="180" spans="2:14" s="497" customFormat="1" ht="19.5" hidden="1" customHeight="1" x14ac:dyDescent="0.2">
      <c r="B180" s="833" t="s">
        <v>162</v>
      </c>
      <c r="C180" s="833"/>
      <c r="D180" s="833"/>
      <c r="E180" s="833"/>
      <c r="F180" s="523"/>
      <c r="G180" s="523"/>
      <c r="H180" s="523"/>
      <c r="I180" s="523"/>
      <c r="J180" s="523"/>
      <c r="K180" s="523"/>
      <c r="L180" s="523"/>
      <c r="M180" s="523"/>
      <c r="N180" s="523"/>
    </row>
    <row r="181" spans="2:14" s="497" customFormat="1" ht="15" hidden="1" customHeight="1" x14ac:dyDescent="0.2">
      <c r="B181" s="835" t="s">
        <v>163</v>
      </c>
      <c r="C181" s="835"/>
      <c r="D181" s="835"/>
      <c r="E181" s="835"/>
      <c r="F181" s="523"/>
      <c r="G181" s="523"/>
      <c r="H181" s="523"/>
      <c r="I181" s="523"/>
      <c r="J181" s="523"/>
      <c r="K181" s="523"/>
      <c r="L181" s="523"/>
      <c r="M181" s="523"/>
      <c r="N181" s="523"/>
    </row>
    <row r="182" spans="2:14" s="497" customFormat="1" ht="15" hidden="1" customHeight="1" x14ac:dyDescent="0.2">
      <c r="B182" s="523"/>
      <c r="C182" s="523"/>
      <c r="D182" s="523"/>
      <c r="E182" s="523"/>
      <c r="F182" s="523"/>
      <c r="G182" s="523"/>
      <c r="H182" s="523"/>
      <c r="I182" s="523"/>
      <c r="J182" s="523"/>
      <c r="K182" s="523"/>
      <c r="L182" s="523"/>
      <c r="M182" s="523"/>
      <c r="N182" s="523"/>
    </row>
    <row r="183" spans="2:14" s="497" customFormat="1" ht="19.5" hidden="1" customHeight="1" x14ac:dyDescent="0.2">
      <c r="B183" s="354" t="s">
        <v>225</v>
      </c>
      <c r="C183" s="355" t="e">
        <f>$H$74</f>
        <v>#DIV/0!</v>
      </c>
      <c r="D183" s="356"/>
      <c r="E183" s="356"/>
      <c r="F183" s="523"/>
      <c r="G183" s="523"/>
      <c r="H183" s="523"/>
      <c r="I183" s="523"/>
      <c r="J183" s="523"/>
      <c r="K183" s="523"/>
      <c r="L183" s="523"/>
      <c r="M183" s="523"/>
      <c r="N183" s="523"/>
    </row>
    <row r="184" spans="2:14" s="139" customFormat="1" ht="19.5" hidden="1" customHeight="1" x14ac:dyDescent="0.2">
      <c r="B184" s="354" t="s">
        <v>164</v>
      </c>
      <c r="C184" s="160" t="e">
        <f>ROUND((C183-(C186/100)*98)/(1-(C186/100)),2)</f>
        <v>#DIV/0!</v>
      </c>
      <c r="D184" s="356"/>
      <c r="E184" s="356"/>
      <c r="F184" s="507"/>
      <c r="G184" s="507"/>
      <c r="H184" s="507"/>
      <c r="I184" s="507"/>
      <c r="J184" s="507"/>
      <c r="K184" s="507"/>
      <c r="L184" s="507"/>
      <c r="M184" s="507"/>
      <c r="N184" s="507"/>
    </row>
    <row r="185" spans="2:14" s="139" customFormat="1" ht="19.5" hidden="1" customHeight="1" x14ac:dyDescent="0.2">
      <c r="B185" s="354" t="s">
        <v>165</v>
      </c>
      <c r="C185" s="357" t="e">
        <f>SUM(H25:K26)/SUM(H17:K26)</f>
        <v>#DIV/0!</v>
      </c>
      <c r="D185" s="358">
        <v>0.3</v>
      </c>
      <c r="E185" s="359"/>
      <c r="F185" s="507"/>
      <c r="G185" s="507"/>
      <c r="H185" s="507"/>
      <c r="I185" s="507"/>
      <c r="J185" s="507"/>
      <c r="K185" s="507"/>
      <c r="L185" s="507"/>
      <c r="M185" s="507"/>
      <c r="N185" s="507"/>
    </row>
    <row r="186" spans="2:14" s="139" customFormat="1" ht="34.5" hidden="1" customHeight="1" x14ac:dyDescent="0.2">
      <c r="B186" s="360" t="s">
        <v>317</v>
      </c>
      <c r="C186" s="357" t="e">
        <f>IF(C185&gt;D185,D185,C185)</f>
        <v>#DIV/0!</v>
      </c>
      <c r="D186" s="359"/>
      <c r="E186" s="359"/>
      <c r="F186" s="507"/>
      <c r="G186" s="507"/>
      <c r="H186" s="507"/>
      <c r="I186" s="507"/>
      <c r="J186" s="507"/>
      <c r="K186" s="507"/>
      <c r="L186" s="507"/>
      <c r="M186" s="507"/>
      <c r="N186" s="507"/>
    </row>
    <row r="187" spans="2:14" s="139" customFormat="1" ht="15" hidden="1" customHeight="1" x14ac:dyDescent="0.2">
      <c r="B187" s="354" t="s">
        <v>166</v>
      </c>
      <c r="C187" s="361" t="str">
        <f>IF(D76&gt;0,(D76/(SUM($H$25:$K$26))),"-")</f>
        <v>-</v>
      </c>
      <c r="D187" s="362"/>
      <c r="E187" s="362"/>
      <c r="F187" s="362"/>
      <c r="G187" s="362"/>
      <c r="H187" s="362"/>
      <c r="I187" s="362"/>
      <c r="J187" s="362"/>
      <c r="K187" s="506"/>
      <c r="L187" s="507"/>
      <c r="M187" s="507"/>
      <c r="N187" s="507"/>
    </row>
    <row r="188" spans="2:14" s="139" customFormat="1" ht="19.5" hidden="1" customHeight="1" x14ac:dyDescent="0.2">
      <c r="B188" s="354" t="s">
        <v>229</v>
      </c>
      <c r="C188" s="160" t="e">
        <f>ROUND(C184+((C186/100)*(98-C184)*(1-(0.5*C187))),2)</f>
        <v>#DIV/0!</v>
      </c>
      <c r="D188" s="507"/>
      <c r="E188" s="507"/>
      <c r="F188" s="507"/>
      <c r="G188" s="507"/>
      <c r="H188" s="507"/>
      <c r="I188" s="507"/>
      <c r="J188" s="507"/>
      <c r="K188" s="507"/>
      <c r="L188" s="507"/>
      <c r="M188" s="507"/>
      <c r="N188" s="507"/>
    </row>
    <row r="189" spans="2:14" s="497" customFormat="1" ht="15" hidden="1" customHeight="1" x14ac:dyDescent="0.2">
      <c r="B189" s="523"/>
      <c r="C189" s="523"/>
      <c r="D189" s="523"/>
      <c r="E189" s="523"/>
      <c r="F189" s="523"/>
      <c r="G189" s="523"/>
      <c r="H189" s="523"/>
      <c r="I189" s="523"/>
      <c r="J189" s="523"/>
      <c r="K189" s="523"/>
      <c r="L189" s="523"/>
      <c r="M189" s="523"/>
      <c r="N189" s="523"/>
    </row>
    <row r="190" spans="2:14" s="497" customFormat="1" ht="15" hidden="1" customHeight="1" x14ac:dyDescent="0.2">
      <c r="B190" s="523"/>
      <c r="C190" s="523"/>
      <c r="D190" s="523"/>
      <c r="E190" s="523"/>
      <c r="F190" s="523"/>
      <c r="G190" s="523"/>
      <c r="H190" s="523"/>
      <c r="I190" s="523"/>
      <c r="J190" s="523"/>
      <c r="K190" s="523"/>
      <c r="L190" s="523"/>
      <c r="M190" s="523"/>
      <c r="N190" s="523"/>
    </row>
    <row r="191" spans="2:14" s="497" customFormat="1" ht="30" hidden="1" customHeight="1" x14ac:dyDescent="0.2">
      <c r="B191" s="413" t="s">
        <v>402</v>
      </c>
      <c r="C191" s="361">
        <f>SUM($H$26:$K$26)</f>
        <v>0</v>
      </c>
      <c r="D191" s="523"/>
      <c r="E191" s="362"/>
      <c r="F191" s="362"/>
      <c r="G191" s="362"/>
      <c r="H191" s="362"/>
      <c r="I191" s="362"/>
      <c r="J191" s="362"/>
      <c r="K191" s="362"/>
      <c r="L191" s="523"/>
      <c r="M191" s="523"/>
      <c r="N191" s="523"/>
    </row>
    <row r="192" spans="2:14" s="497" customFormat="1" ht="15" hidden="1" customHeight="1" x14ac:dyDescent="0.2">
      <c r="B192" s="523"/>
      <c r="C192" s="523"/>
      <c r="D192" s="523"/>
      <c r="E192" s="523"/>
      <c r="F192" s="523"/>
      <c r="G192" s="523"/>
      <c r="H192" s="523"/>
      <c r="I192" s="523"/>
      <c r="J192" s="523"/>
      <c r="K192" s="523"/>
      <c r="L192" s="523"/>
      <c r="M192" s="523"/>
      <c r="N192" s="523"/>
    </row>
    <row r="193" spans="2:14" s="497" customFormat="1" ht="15" hidden="1" customHeight="1" x14ac:dyDescent="0.2">
      <c r="B193" s="523"/>
      <c r="C193" s="523"/>
      <c r="D193" s="523"/>
      <c r="E193" s="523"/>
      <c r="F193" s="523"/>
      <c r="G193" s="523"/>
      <c r="H193" s="523"/>
      <c r="I193" s="523"/>
      <c r="J193" s="523"/>
      <c r="K193" s="523"/>
      <c r="L193" s="523"/>
      <c r="M193" s="523"/>
      <c r="N193" s="523"/>
    </row>
    <row r="194" spans="2:14" s="497" customFormat="1" ht="15" hidden="1" customHeight="1" x14ac:dyDescent="0.2">
      <c r="B194" s="523"/>
      <c r="C194" s="523"/>
      <c r="D194" s="523"/>
      <c r="E194" s="523"/>
      <c r="F194" s="523"/>
      <c r="G194" s="523"/>
      <c r="H194" s="523"/>
      <c r="I194" s="523"/>
      <c r="J194" s="523"/>
      <c r="K194" s="523"/>
      <c r="L194" s="523"/>
      <c r="M194" s="523"/>
      <c r="N194" s="523"/>
    </row>
    <row r="195" spans="2:14" s="497" customFormat="1" ht="15.75" thickTop="1" x14ac:dyDescent="0.2">
      <c r="B195" s="737" t="s">
        <v>435</v>
      </c>
      <c r="C195" s="737"/>
      <c r="D195" s="737"/>
      <c r="E195" s="737"/>
      <c r="F195" s="737"/>
      <c r="G195" s="737"/>
      <c r="H195" s="737"/>
      <c r="I195" s="737"/>
      <c r="J195" s="737"/>
      <c r="K195" s="737"/>
      <c r="L195" s="507"/>
      <c r="M195" s="523"/>
      <c r="N195" s="523"/>
    </row>
    <row r="196" spans="2:14" x14ac:dyDescent="0.2">
      <c r="B196" s="737"/>
      <c r="C196" s="737"/>
      <c r="D196" s="737"/>
      <c r="E196" s="737"/>
      <c r="F196" s="737"/>
      <c r="G196" s="737"/>
      <c r="H196" s="737"/>
      <c r="I196" s="737"/>
      <c r="J196" s="737"/>
      <c r="K196" s="737"/>
      <c r="L196" s="507"/>
    </row>
    <row r="197" spans="2:14" ht="15.75" x14ac:dyDescent="0.2">
      <c r="B197" s="738" t="s">
        <v>436</v>
      </c>
      <c r="C197" s="738"/>
      <c r="D197" s="738"/>
      <c r="E197" s="738"/>
      <c r="F197" s="738"/>
      <c r="G197" s="738"/>
      <c r="H197" s="738"/>
      <c r="I197" s="738"/>
      <c r="J197" s="738"/>
      <c r="K197" s="738"/>
      <c r="L197" s="507"/>
    </row>
    <row r="198" spans="2:14" x14ac:dyDescent="0.2">
      <c r="B198" s="737" t="s">
        <v>437</v>
      </c>
      <c r="C198" s="737"/>
      <c r="D198" s="737"/>
      <c r="E198" s="737"/>
      <c r="F198" s="737"/>
      <c r="G198" s="737"/>
      <c r="H198" s="737"/>
      <c r="I198" s="737"/>
      <c r="J198" s="737"/>
      <c r="K198" s="737"/>
      <c r="L198" s="507"/>
    </row>
    <row r="199" spans="2:14" x14ac:dyDescent="0.2">
      <c r="B199" s="737"/>
      <c r="C199" s="737"/>
      <c r="D199" s="737"/>
      <c r="E199" s="737"/>
      <c r="F199" s="737"/>
      <c r="G199" s="737"/>
      <c r="H199" s="737"/>
      <c r="I199" s="737"/>
      <c r="J199" s="737"/>
      <c r="K199" s="737"/>
    </row>
    <row r="200" spans="2:14" x14ac:dyDescent="0.2">
      <c r="B200" s="507"/>
      <c r="C200" s="507"/>
      <c r="D200" s="507"/>
      <c r="E200" s="160"/>
      <c r="F200" s="160"/>
      <c r="G200" s="160"/>
      <c r="H200" s="507"/>
      <c r="I200" s="507"/>
      <c r="J200" s="507"/>
      <c r="K200" s="507"/>
    </row>
    <row r="201" spans="2:14" x14ac:dyDescent="0.2">
      <c r="B201" s="507"/>
      <c r="C201" s="507"/>
      <c r="D201" s="507"/>
      <c r="E201" s="160"/>
      <c r="F201" s="160"/>
      <c r="G201" s="160"/>
      <c r="H201" s="507"/>
      <c r="I201" s="507"/>
      <c r="J201" s="507"/>
      <c r="K201" s="507"/>
    </row>
    <row r="202" spans="2:14" x14ac:dyDescent="0.2">
      <c r="B202" s="507"/>
      <c r="C202" s="507"/>
      <c r="D202" s="507"/>
      <c r="E202" s="160"/>
      <c r="F202" s="160"/>
      <c r="G202" s="160"/>
      <c r="H202" s="507"/>
      <c r="I202" s="507"/>
      <c r="J202" s="507"/>
      <c r="K202" s="507"/>
    </row>
    <row r="203" spans="2:14" x14ac:dyDescent="0.2">
      <c r="B203" s="507"/>
      <c r="C203" s="507"/>
      <c r="D203" s="507"/>
      <c r="E203" s="160"/>
      <c r="F203" s="160"/>
      <c r="G203" s="160"/>
      <c r="H203" s="507"/>
      <c r="I203" s="507"/>
      <c r="J203" s="507"/>
      <c r="K203" s="507"/>
    </row>
    <row r="204" spans="2:14" x14ac:dyDescent="0.2">
      <c r="B204" s="507"/>
      <c r="C204" s="507"/>
      <c r="D204" s="507"/>
      <c r="E204" s="160"/>
      <c r="F204" s="160"/>
      <c r="G204" s="160"/>
      <c r="H204" s="507"/>
      <c r="I204" s="507"/>
      <c r="J204" s="507"/>
      <c r="K204" s="507"/>
    </row>
    <row r="205" spans="2:14" x14ac:dyDescent="0.2">
      <c r="B205" s="507"/>
      <c r="C205" s="507"/>
      <c r="D205" s="507"/>
      <c r="E205" s="160"/>
      <c r="F205" s="160"/>
      <c r="G205" s="160"/>
      <c r="H205" s="507"/>
      <c r="I205" s="507"/>
      <c r="J205" s="507"/>
      <c r="K205" s="507"/>
    </row>
    <row r="206" spans="2:14" x14ac:dyDescent="0.2">
      <c r="B206" s="507"/>
      <c r="C206" s="507"/>
      <c r="D206" s="507"/>
      <c r="E206" s="160"/>
      <c r="F206" s="160"/>
      <c r="G206" s="160"/>
      <c r="H206" s="507"/>
      <c r="I206" s="507"/>
      <c r="J206" s="507"/>
      <c r="K206" s="507"/>
    </row>
    <row r="207" spans="2:14" x14ac:dyDescent="0.2">
      <c r="B207" s="507"/>
      <c r="C207" s="507"/>
      <c r="D207" s="507"/>
      <c r="E207" s="160"/>
      <c r="F207" s="160"/>
      <c r="G207" s="160"/>
      <c r="H207" s="507"/>
      <c r="I207" s="507"/>
      <c r="J207" s="507"/>
      <c r="K207" s="507"/>
    </row>
    <row r="208" spans="2:14" x14ac:dyDescent="0.2">
      <c r="B208" s="507"/>
      <c r="C208" s="507"/>
      <c r="D208" s="507"/>
      <c r="E208" s="160"/>
      <c r="F208" s="160"/>
      <c r="G208" s="160"/>
      <c r="H208" s="507"/>
      <c r="I208" s="507"/>
      <c r="J208" s="507"/>
      <c r="K208" s="507"/>
    </row>
    <row r="209" spans="2:12" x14ac:dyDescent="0.2">
      <c r="B209" s="507"/>
      <c r="C209" s="507"/>
      <c r="D209" s="507"/>
      <c r="E209" s="160"/>
      <c r="F209" s="160"/>
      <c r="G209" s="160"/>
      <c r="H209" s="507"/>
      <c r="I209" s="507"/>
      <c r="J209" s="507"/>
      <c r="K209" s="507"/>
    </row>
    <row r="210" spans="2:12" s="507" customFormat="1" x14ac:dyDescent="0.2">
      <c r="E210" s="160"/>
      <c r="F210" s="160"/>
      <c r="G210" s="160"/>
      <c r="L210" s="160"/>
    </row>
    <row r="211" spans="2:12" s="507" customFormat="1" x14ac:dyDescent="0.2">
      <c r="E211" s="160"/>
      <c r="F211" s="160"/>
      <c r="G211" s="160"/>
      <c r="L211" s="160"/>
    </row>
    <row r="212" spans="2:12" s="507" customFormat="1" x14ac:dyDescent="0.2">
      <c r="E212" s="160"/>
      <c r="F212" s="160"/>
      <c r="G212" s="160"/>
      <c r="L212" s="160"/>
    </row>
    <row r="213" spans="2:12" s="507" customFormat="1" x14ac:dyDescent="0.2">
      <c r="E213" s="160"/>
      <c r="F213" s="160"/>
      <c r="G213" s="160"/>
      <c r="L213" s="160"/>
    </row>
    <row r="214" spans="2:12" s="507" customFormat="1" x14ac:dyDescent="0.2">
      <c r="E214" s="160"/>
      <c r="F214" s="160"/>
      <c r="G214" s="160"/>
      <c r="L214" s="160"/>
    </row>
    <row r="215" spans="2:12" s="507" customFormat="1" x14ac:dyDescent="0.2">
      <c r="E215" s="160"/>
      <c r="F215" s="160"/>
      <c r="G215" s="160"/>
      <c r="L215" s="160"/>
    </row>
    <row r="216" spans="2:12" s="507" customFormat="1" x14ac:dyDescent="0.2">
      <c r="E216" s="160"/>
      <c r="F216" s="160"/>
      <c r="G216" s="160"/>
      <c r="L216" s="160"/>
    </row>
    <row r="217" spans="2:12" s="507" customFormat="1" x14ac:dyDescent="0.2">
      <c r="E217" s="160"/>
      <c r="F217" s="160"/>
      <c r="G217" s="160"/>
      <c r="L217" s="160"/>
    </row>
    <row r="218" spans="2:12" s="507" customFormat="1" x14ac:dyDescent="0.2">
      <c r="E218" s="160"/>
      <c r="F218" s="160"/>
      <c r="G218" s="160"/>
      <c r="L218" s="160"/>
    </row>
    <row r="219" spans="2:12" s="507" customFormat="1" x14ac:dyDescent="0.2">
      <c r="E219" s="160"/>
      <c r="F219" s="160"/>
      <c r="G219" s="160"/>
      <c r="L219" s="160"/>
    </row>
    <row r="220" spans="2:12" s="507" customFormat="1" x14ac:dyDescent="0.2">
      <c r="E220" s="160"/>
      <c r="F220" s="160"/>
      <c r="G220" s="160"/>
      <c r="L220" s="160"/>
    </row>
    <row r="221" spans="2:12" s="507" customFormat="1" x14ac:dyDescent="0.2">
      <c r="E221" s="160"/>
      <c r="F221" s="160"/>
      <c r="G221" s="160"/>
      <c r="L221" s="160"/>
    </row>
    <row r="222" spans="2:12" s="507" customFormat="1" x14ac:dyDescent="0.2">
      <c r="E222" s="160"/>
      <c r="F222" s="160"/>
      <c r="G222" s="160"/>
      <c r="L222" s="160"/>
    </row>
    <row r="223" spans="2:12" s="507" customFormat="1" x14ac:dyDescent="0.2">
      <c r="E223" s="160"/>
      <c r="F223" s="160"/>
      <c r="G223" s="160"/>
      <c r="L223" s="160"/>
    </row>
    <row r="224" spans="2:12" s="507" customFormat="1" x14ac:dyDescent="0.2">
      <c r="E224" s="160"/>
      <c r="F224" s="160"/>
      <c r="G224" s="160"/>
      <c r="L224" s="160"/>
    </row>
    <row r="225" spans="5:12" s="507" customFormat="1" x14ac:dyDescent="0.2">
      <c r="E225" s="160"/>
      <c r="F225" s="160"/>
      <c r="G225" s="160"/>
      <c r="L225" s="160"/>
    </row>
    <row r="226" spans="5:12" s="507" customFormat="1" x14ac:dyDescent="0.2">
      <c r="E226" s="160"/>
      <c r="F226" s="160"/>
      <c r="G226" s="160"/>
      <c r="L226" s="160"/>
    </row>
    <row r="227" spans="5:12" s="507" customFormat="1" x14ac:dyDescent="0.2">
      <c r="E227" s="160"/>
      <c r="F227" s="160"/>
      <c r="G227" s="160"/>
      <c r="L227" s="160"/>
    </row>
    <row r="228" spans="5:12" s="507" customFormat="1" x14ac:dyDescent="0.2">
      <c r="E228" s="160"/>
      <c r="F228" s="160"/>
      <c r="G228" s="160"/>
      <c r="L228" s="160"/>
    </row>
    <row r="229" spans="5:12" s="507" customFormat="1" x14ac:dyDescent="0.2">
      <c r="E229" s="160"/>
      <c r="F229" s="160"/>
      <c r="G229" s="160"/>
      <c r="L229" s="160"/>
    </row>
    <row r="230" spans="5:12" s="507" customFormat="1" x14ac:dyDescent="0.2">
      <c r="E230" s="160"/>
      <c r="F230" s="160"/>
      <c r="G230" s="160"/>
      <c r="L230" s="160"/>
    </row>
    <row r="231" spans="5:12" s="507" customFormat="1" x14ac:dyDescent="0.2">
      <c r="E231" s="160"/>
      <c r="F231" s="160"/>
      <c r="G231" s="160"/>
      <c r="L231" s="160"/>
    </row>
    <row r="232" spans="5:12" s="507" customFormat="1" x14ac:dyDescent="0.2">
      <c r="E232" s="160"/>
      <c r="F232" s="160"/>
      <c r="G232" s="160"/>
      <c r="L232" s="160"/>
    </row>
    <row r="233" spans="5:12" s="507" customFormat="1" x14ac:dyDescent="0.2">
      <c r="E233" s="160"/>
      <c r="F233" s="160"/>
      <c r="G233" s="160"/>
      <c r="L233" s="160"/>
    </row>
    <row r="234" spans="5:12" s="507" customFormat="1" x14ac:dyDescent="0.2">
      <c r="E234" s="160"/>
      <c r="F234" s="160"/>
      <c r="G234" s="160"/>
      <c r="L234" s="160"/>
    </row>
    <row r="235" spans="5:12" s="507" customFormat="1" x14ac:dyDescent="0.2">
      <c r="E235" s="160"/>
      <c r="F235" s="160"/>
      <c r="G235" s="160"/>
      <c r="L235" s="160"/>
    </row>
    <row r="236" spans="5:12" s="507" customFormat="1" x14ac:dyDescent="0.2">
      <c r="E236" s="160"/>
      <c r="F236" s="160"/>
      <c r="G236" s="160"/>
      <c r="L236" s="160"/>
    </row>
    <row r="237" spans="5:12" s="507" customFormat="1" x14ac:dyDescent="0.2">
      <c r="E237" s="160"/>
      <c r="F237" s="160"/>
      <c r="G237" s="160"/>
      <c r="L237" s="160"/>
    </row>
    <row r="238" spans="5:12" s="507" customFormat="1" x14ac:dyDescent="0.2">
      <c r="E238" s="160"/>
      <c r="F238" s="160"/>
      <c r="G238" s="160"/>
      <c r="L238" s="160"/>
    </row>
    <row r="239" spans="5:12" s="507" customFormat="1" x14ac:dyDescent="0.2">
      <c r="E239" s="160"/>
      <c r="F239" s="160"/>
      <c r="G239" s="160"/>
      <c r="L239" s="160"/>
    </row>
    <row r="240" spans="5:12" s="507" customFormat="1" x14ac:dyDescent="0.2">
      <c r="E240" s="160"/>
      <c r="F240" s="160"/>
      <c r="G240" s="160"/>
      <c r="L240" s="160"/>
    </row>
    <row r="241" spans="5:12" s="507" customFormat="1" x14ac:dyDescent="0.2">
      <c r="E241" s="160"/>
      <c r="F241" s="160"/>
      <c r="G241" s="160"/>
      <c r="L241" s="160"/>
    </row>
    <row r="242" spans="5:12" s="507" customFormat="1" x14ac:dyDescent="0.2">
      <c r="E242" s="160"/>
      <c r="F242" s="160"/>
      <c r="G242" s="160"/>
      <c r="L242" s="160"/>
    </row>
    <row r="243" spans="5:12" s="507" customFormat="1" x14ac:dyDescent="0.2">
      <c r="E243" s="160"/>
      <c r="F243" s="160"/>
      <c r="G243" s="160"/>
      <c r="L243" s="160"/>
    </row>
    <row r="244" spans="5:12" s="507" customFormat="1" x14ac:dyDescent="0.2">
      <c r="E244" s="160"/>
      <c r="F244" s="160"/>
      <c r="G244" s="160"/>
      <c r="L244" s="160"/>
    </row>
  </sheetData>
  <sheetProtection password="E421" sheet="1" objects="1" scenarios="1"/>
  <mergeCells count="251">
    <mergeCell ref="B9:C9"/>
    <mergeCell ref="D9:G9"/>
    <mergeCell ref="H9:K9"/>
    <mergeCell ref="B10:C10"/>
    <mergeCell ref="D10:G10"/>
    <mergeCell ref="H10:K10"/>
    <mergeCell ref="B1:D1"/>
    <mergeCell ref="E1:K1"/>
    <mergeCell ref="B3:K3"/>
    <mergeCell ref="B4:K4"/>
    <mergeCell ref="B8:C8"/>
    <mergeCell ref="D8:G8"/>
    <mergeCell ref="H8:K8"/>
    <mergeCell ref="B14:C14"/>
    <mergeCell ref="D14:G14"/>
    <mergeCell ref="H14:K14"/>
    <mergeCell ref="B15:C15"/>
    <mergeCell ref="D15:G15"/>
    <mergeCell ref="H15:K15"/>
    <mergeCell ref="B11:C11"/>
    <mergeCell ref="D11:K11"/>
    <mergeCell ref="B12:C12"/>
    <mergeCell ref="D12:K12"/>
    <mergeCell ref="B13:C13"/>
    <mergeCell ref="D13:K13"/>
    <mergeCell ref="B25:C25"/>
    <mergeCell ref="B26:C26"/>
    <mergeCell ref="D27:G27"/>
    <mergeCell ref="H27:K27"/>
    <mergeCell ref="B28:C28"/>
    <mergeCell ref="D28:G28"/>
    <mergeCell ref="H28:K28"/>
    <mergeCell ref="B16:C16"/>
    <mergeCell ref="L16:L24"/>
    <mergeCell ref="B17:C17"/>
    <mergeCell ref="B18:C18"/>
    <mergeCell ref="B19:C19"/>
    <mergeCell ref="B20:C20"/>
    <mergeCell ref="B21:C21"/>
    <mergeCell ref="B22:C22"/>
    <mergeCell ref="B23:C23"/>
    <mergeCell ref="B24:C24"/>
    <mergeCell ref="H31:K31"/>
    <mergeCell ref="B32:C32"/>
    <mergeCell ref="D32:G32"/>
    <mergeCell ref="H32:K32"/>
    <mergeCell ref="B33:C33"/>
    <mergeCell ref="D33:G33"/>
    <mergeCell ref="H33:K33"/>
    <mergeCell ref="L28:L29"/>
    <mergeCell ref="B29:C29"/>
    <mergeCell ref="D29:G29"/>
    <mergeCell ref="H29:K29"/>
    <mergeCell ref="B30:C30"/>
    <mergeCell ref="D30:G30"/>
    <mergeCell ref="H30:K30"/>
    <mergeCell ref="L30:L33"/>
    <mergeCell ref="B31:C31"/>
    <mergeCell ref="D31:G31"/>
    <mergeCell ref="B37:C37"/>
    <mergeCell ref="D37:G37"/>
    <mergeCell ref="H37:K37"/>
    <mergeCell ref="B38:C38"/>
    <mergeCell ref="D38:G38"/>
    <mergeCell ref="H38:K38"/>
    <mergeCell ref="B34:C34"/>
    <mergeCell ref="B35:C35"/>
    <mergeCell ref="D35:G35"/>
    <mergeCell ref="H35:K35"/>
    <mergeCell ref="B36:C36"/>
    <mergeCell ref="D36:G36"/>
    <mergeCell ref="H36:K36"/>
    <mergeCell ref="B41:C41"/>
    <mergeCell ref="D41:G41"/>
    <mergeCell ref="H41:K41"/>
    <mergeCell ref="B42:C42"/>
    <mergeCell ref="D42:G42"/>
    <mergeCell ref="H42:K42"/>
    <mergeCell ref="L38:L39"/>
    <mergeCell ref="B39:C39"/>
    <mergeCell ref="D39:G39"/>
    <mergeCell ref="H39:K39"/>
    <mergeCell ref="B40:C40"/>
    <mergeCell ref="D40:G40"/>
    <mergeCell ref="H40:K40"/>
    <mergeCell ref="B45:C45"/>
    <mergeCell ref="D45:G45"/>
    <mergeCell ref="H45:K45"/>
    <mergeCell ref="B46:C46"/>
    <mergeCell ref="D46:G46"/>
    <mergeCell ref="H46:K46"/>
    <mergeCell ref="B43:C43"/>
    <mergeCell ref="D43:G43"/>
    <mergeCell ref="H43:K43"/>
    <mergeCell ref="B44:C44"/>
    <mergeCell ref="D44:G44"/>
    <mergeCell ref="H44:K44"/>
    <mergeCell ref="B50:C50"/>
    <mergeCell ref="D50:G50"/>
    <mergeCell ref="H50:K50"/>
    <mergeCell ref="B51:C51"/>
    <mergeCell ref="D51:G51"/>
    <mergeCell ref="H51:K51"/>
    <mergeCell ref="L46:L49"/>
    <mergeCell ref="B47:C47"/>
    <mergeCell ref="D47:G47"/>
    <mergeCell ref="H47:K47"/>
    <mergeCell ref="B48:C48"/>
    <mergeCell ref="D48:G48"/>
    <mergeCell ref="H48:K48"/>
    <mergeCell ref="B49:C49"/>
    <mergeCell ref="D49:G49"/>
    <mergeCell ref="H49:K49"/>
    <mergeCell ref="B54:C54"/>
    <mergeCell ref="D54:G54"/>
    <mergeCell ref="H54:K54"/>
    <mergeCell ref="B55:C55"/>
    <mergeCell ref="D55:G55"/>
    <mergeCell ref="H55:K55"/>
    <mergeCell ref="B52:C52"/>
    <mergeCell ref="D52:G52"/>
    <mergeCell ref="H52:K52"/>
    <mergeCell ref="B53:C53"/>
    <mergeCell ref="D53:G53"/>
    <mergeCell ref="H53:K53"/>
    <mergeCell ref="B56:C56"/>
    <mergeCell ref="D56:G56"/>
    <mergeCell ref="H56:K56"/>
    <mergeCell ref="L56:L59"/>
    <mergeCell ref="B57:C57"/>
    <mergeCell ref="D57:G57"/>
    <mergeCell ref="H57:K57"/>
    <mergeCell ref="B58:C58"/>
    <mergeCell ref="D58:G58"/>
    <mergeCell ref="H58:K58"/>
    <mergeCell ref="B61:C61"/>
    <mergeCell ref="D61:G61"/>
    <mergeCell ref="H61:K61"/>
    <mergeCell ref="B62:C62"/>
    <mergeCell ref="D62:G62"/>
    <mergeCell ref="H62:K62"/>
    <mergeCell ref="B59:C59"/>
    <mergeCell ref="D59:G59"/>
    <mergeCell ref="H59:K59"/>
    <mergeCell ref="B60:C60"/>
    <mergeCell ref="D60:G60"/>
    <mergeCell ref="H60:K60"/>
    <mergeCell ref="B65:C65"/>
    <mergeCell ref="D65:G65"/>
    <mergeCell ref="H65:K65"/>
    <mergeCell ref="B66:C66"/>
    <mergeCell ref="D66:G66"/>
    <mergeCell ref="H66:K66"/>
    <mergeCell ref="B63:C63"/>
    <mergeCell ref="D63:G63"/>
    <mergeCell ref="H63:K63"/>
    <mergeCell ref="B64:C64"/>
    <mergeCell ref="D64:G64"/>
    <mergeCell ref="H64:K64"/>
    <mergeCell ref="L66:L69"/>
    <mergeCell ref="B67:C67"/>
    <mergeCell ref="D67:G67"/>
    <mergeCell ref="H67:K67"/>
    <mergeCell ref="B68:C68"/>
    <mergeCell ref="D68:G68"/>
    <mergeCell ref="H68:K68"/>
    <mergeCell ref="B69:C69"/>
    <mergeCell ref="D69:G69"/>
    <mergeCell ref="H69:K69"/>
    <mergeCell ref="B73:C73"/>
    <mergeCell ref="D73:G73"/>
    <mergeCell ref="H73:K73"/>
    <mergeCell ref="B74:C74"/>
    <mergeCell ref="D74:G74"/>
    <mergeCell ref="H74:K74"/>
    <mergeCell ref="B70:C70"/>
    <mergeCell ref="D70:G70"/>
    <mergeCell ref="H70:K70"/>
    <mergeCell ref="D71:G71"/>
    <mergeCell ref="H71:K71"/>
    <mergeCell ref="B72:C72"/>
    <mergeCell ref="D72:G72"/>
    <mergeCell ref="H72:K72"/>
    <mergeCell ref="B79:C79"/>
    <mergeCell ref="D79:K79"/>
    <mergeCell ref="B80:C80"/>
    <mergeCell ref="D80:K80"/>
    <mergeCell ref="B81:C81"/>
    <mergeCell ref="B82:C82"/>
    <mergeCell ref="D82:G82"/>
    <mergeCell ref="H82:K82"/>
    <mergeCell ref="B75:C75"/>
    <mergeCell ref="B76:C76"/>
    <mergeCell ref="D76:K76"/>
    <mergeCell ref="B77:C77"/>
    <mergeCell ref="D77:K77"/>
    <mergeCell ref="B78:C78"/>
    <mergeCell ref="B86:C86"/>
    <mergeCell ref="B87:C87"/>
    <mergeCell ref="D87:G87"/>
    <mergeCell ref="H87:K87"/>
    <mergeCell ref="B88:C88"/>
    <mergeCell ref="D88:G88"/>
    <mergeCell ref="H88:K88"/>
    <mergeCell ref="B83:C83"/>
    <mergeCell ref="D83:G83"/>
    <mergeCell ref="H83:K83"/>
    <mergeCell ref="B84:C84"/>
    <mergeCell ref="D84:K84"/>
    <mergeCell ref="B85:C85"/>
    <mergeCell ref="D85:G85"/>
    <mergeCell ref="H85:K85"/>
    <mergeCell ref="B92:C92"/>
    <mergeCell ref="D92:G92"/>
    <mergeCell ref="H92:K92"/>
    <mergeCell ref="B93:C93"/>
    <mergeCell ref="D93:G93"/>
    <mergeCell ref="H93:K93"/>
    <mergeCell ref="B89:C89"/>
    <mergeCell ref="D89:G89"/>
    <mergeCell ref="H89:K89"/>
    <mergeCell ref="B90:C90"/>
    <mergeCell ref="B91:C91"/>
    <mergeCell ref="D91:G91"/>
    <mergeCell ref="H91:K91"/>
    <mergeCell ref="B115:C115"/>
    <mergeCell ref="B116:C116"/>
    <mergeCell ref="E122:N122"/>
    <mergeCell ref="E130:N130"/>
    <mergeCell ref="J139:M140"/>
    <mergeCell ref="B140:G141"/>
    <mergeCell ref="D94:K94"/>
    <mergeCell ref="B96:L96"/>
    <mergeCell ref="B98:I98"/>
    <mergeCell ref="E109:F109"/>
    <mergeCell ref="B112:C113"/>
    <mergeCell ref="E112:N112"/>
    <mergeCell ref="E113:N113"/>
    <mergeCell ref="B198:K199"/>
    <mergeCell ref="B178:E178"/>
    <mergeCell ref="B179:E179"/>
    <mergeCell ref="B180:E180"/>
    <mergeCell ref="B181:E181"/>
    <mergeCell ref="B195:K196"/>
    <mergeCell ref="B197:K197"/>
    <mergeCell ref="B147:G149"/>
    <mergeCell ref="I149:N151"/>
    <mergeCell ref="B163:F163"/>
    <mergeCell ref="B173:E174"/>
    <mergeCell ref="B176:E176"/>
    <mergeCell ref="B177:E177"/>
  </mergeCells>
  <conditionalFormatting sqref="H88 H81 D81 D76 D83:K84 E1:K1 D46:K49 D56:K59 D66:K69 H91:K92 D32:K33 D79:K79">
    <cfRule type="cellIs" dxfId="408" priority="19" operator="lessThan">
      <formula>0.00001</formula>
    </cfRule>
  </conditionalFormatting>
  <conditionalFormatting sqref="I94:I97 F123:K129 F99:F108 D142:G146 B93 G99:I111 J94:K111 F110:F111 F114:K121 D150:F162 H131:H195 G150:G195 F131:G139 D99:E139 D81:D92 D93:H97 E81:H83 I131:K137 B94:C94 D39:K39 D72:H78 L77 D33:K33 I73:K78 I81:K82 E92:L92 E85:K91 I93:K93 D164:F195 I160:K195">
    <cfRule type="containsErrors" dxfId="407" priority="12">
      <formula>ISERROR(B33)</formula>
    </cfRule>
  </conditionalFormatting>
  <conditionalFormatting sqref="H81 D81 D83:K84 D11:K13 D79:K79">
    <cfRule type="cellIs" dxfId="406" priority="17" operator="lessThan">
      <formula>0.0001</formula>
    </cfRule>
  </conditionalFormatting>
  <conditionalFormatting sqref="H88 H81 D81 D83:K84 D67:K69 D57:K59 H91:K92 D47:K49 D79:K79">
    <cfRule type="cellIs" priority="16" operator="lessThan">
      <formula>0.00001</formula>
    </cfRule>
  </conditionalFormatting>
  <conditionalFormatting sqref="H88 D11:K13 H91:K92">
    <cfRule type="cellIs" dxfId="405" priority="15" operator="lessThan">
      <formula>0.000001</formula>
    </cfRule>
  </conditionalFormatting>
  <conditionalFormatting sqref="D38:K39">
    <cfRule type="cellIs" dxfId="404" priority="14" operator="lessThan">
      <formula>0.00001</formula>
    </cfRule>
  </conditionalFormatting>
  <conditionalFormatting sqref="L92 L77">
    <cfRule type="cellIs" dxfId="403" priority="13" operator="greaterThan">
      <formula>$G$35</formula>
    </cfRule>
  </conditionalFormatting>
  <conditionalFormatting sqref="H85:K85">
    <cfRule type="cellIs" dxfId="402" priority="18" operator="greaterThan">
      <formula>$D$85</formula>
    </cfRule>
  </conditionalFormatting>
  <conditionalFormatting sqref="D80:K80">
    <cfRule type="cellIs" dxfId="401" priority="9" operator="lessThan">
      <formula>0.00001</formula>
    </cfRule>
  </conditionalFormatting>
  <conditionalFormatting sqref="D80:K80">
    <cfRule type="cellIs" dxfId="400" priority="8" operator="lessThan">
      <formula>0.0001</formula>
    </cfRule>
  </conditionalFormatting>
  <conditionalFormatting sqref="D80:K80">
    <cfRule type="cellIs" priority="7" operator="lessThan">
      <formula>0.00001</formula>
    </cfRule>
  </conditionalFormatting>
  <conditionalFormatting sqref="D80:K80">
    <cfRule type="cellIs" dxfId="399" priority="6" operator="lessThan">
      <formula>0.00001</formula>
    </cfRule>
  </conditionalFormatting>
  <conditionalFormatting sqref="D80:K80">
    <cfRule type="cellIs" dxfId="398" priority="5" operator="lessThan">
      <formula>0.0001</formula>
    </cfRule>
  </conditionalFormatting>
  <conditionalFormatting sqref="D80:K80">
    <cfRule type="cellIs" priority="4" operator="lessThan">
      <formula>0.00001</formula>
    </cfRule>
  </conditionalFormatting>
  <conditionalFormatting sqref="D80:K80">
    <cfRule type="cellIs" dxfId="397" priority="3" operator="lessThan">
      <formula>0.00001</formula>
    </cfRule>
  </conditionalFormatting>
  <conditionalFormatting sqref="D80:K80">
    <cfRule type="cellIs" dxfId="396" priority="2" operator="lessThan">
      <formula>0.0001</formula>
    </cfRule>
  </conditionalFormatting>
  <conditionalFormatting sqref="D80:K80">
    <cfRule type="cellIs" priority="1" operator="lessThan">
      <formula>0.00001</formula>
    </cfRule>
  </conditionalFormatting>
  <dataValidations count="3">
    <dataValidation type="list" allowBlank="1" showInputMessage="1" showErrorMessage="1" sqref="D31 H31" xr:uid="{00000000-0002-0000-0900-000000000000}">
      <formula1>$B$143:$B$145</formula1>
    </dataValidation>
    <dataValidation type="list" allowBlank="1" showInputMessage="1" showErrorMessage="1" sqref="D37:K37" xr:uid="{00000000-0002-0000-0900-000001000000}">
      <formula1>$B$159:$B$160</formula1>
    </dataValidation>
    <dataValidation type="list" allowBlank="1" showInputMessage="1" showErrorMessage="1" sqref="D45:K45 D55:K55 D65:K65" xr:uid="{00000000-0002-0000-0900-000002000000}">
      <formula1>$B$151:$B$156</formula1>
    </dataValidation>
  </dataValidations>
  <hyperlinks>
    <hyperlink ref="L12" location="PPT" display="From Site Data" xr:uid="{00000000-0004-0000-0900-000000000000}"/>
    <hyperlink ref="L38" location="VELOCITY" display="See Shallow Flow Calculations" xr:uid="{00000000-0004-0000-0900-000001000000}"/>
    <hyperlink ref="L46" location="mannings_channel" display="See Channel Flow" xr:uid="{00000000-0004-0000-0900-000002000000}"/>
    <hyperlink ref="L38:L39" location="SHALLOW" display="See Shallow Flow Calculations" xr:uid="{00000000-0004-0000-0900-000003000000}"/>
    <hyperlink ref="L46:L49" location="CHANNEL" display="See Open Channel Flow" xr:uid="{00000000-0004-0000-0900-000004000000}"/>
    <hyperlink ref="L56" location="mannings_channel" display="See Channel Flow" xr:uid="{00000000-0004-0000-0900-000005000000}"/>
    <hyperlink ref="L56:L59" location="CHANNEL" display="See Open Channel Flow" xr:uid="{00000000-0004-0000-0900-000006000000}"/>
    <hyperlink ref="L66" location="mannings_channel" display="See Channel Flow" xr:uid="{00000000-0004-0000-0900-000007000000}"/>
    <hyperlink ref="L66:L69" location="CHANNEL" display="See Open Channel Flow" xr:uid="{00000000-0004-0000-0900-000008000000}"/>
    <hyperlink ref="L30:L33" location="SHEET" display="See Sheet Flow Calculations" xr:uid="{00000000-0004-0000-0900-000009000000}"/>
    <hyperlink ref="L74" location="WCN" display="See Weighted Curve Number" xr:uid="{00000000-0004-0000-0900-00000A000000}"/>
    <hyperlink ref="L70" location="Tc" display="See Tc" xr:uid="{00000000-0004-0000-0900-00000B000000}"/>
    <hyperlink ref="L16:L24" location="WCN" display="See Weighted Curve Number" xr:uid="{00000000-0004-0000-0900-00000C000000}"/>
    <hyperlink ref="L82" location="SCS" display="See SCS Runoff Method" xr:uid="{00000000-0004-0000-0900-00000D000000}"/>
    <hyperlink ref="L79" location="hd" display="See Discrete Runoff Method" xr:uid="{00000000-0004-0000-0900-00000E000000}"/>
    <hyperlink ref="L87" location="SCS" display="See SCS Runoff Method" xr:uid="{00000000-0004-0000-0900-00000F000000}"/>
    <hyperlink ref="L91" location="SCS" display="See SCS Runoff Method" xr:uid="{00000000-0004-0000-0900-000010000000}"/>
    <hyperlink ref="L85" location="PEAK" display="See Peak Flow Calculations" xr:uid="{00000000-0004-0000-0900-000011000000}"/>
    <hyperlink ref="L89" location="PEAK" display="See Peak Flow Calculations" xr:uid="{00000000-0004-0000-0900-000012000000}"/>
    <hyperlink ref="L76" location="Disconnected" display="See Disconnected Impervious Calculation" xr:uid="{00000000-0004-0000-0900-000013000000}"/>
    <hyperlink ref="B195:K196" location="'DA2'!A1" display="CLICK TO ADD ANOTHER DRAINAGE AREA" xr:uid="{00000000-0004-0000-0900-000014000000}"/>
    <hyperlink ref="B198:K199" location="'SITE SUMMARY'!A1" display="CONTINUE TO SITE SUMMARY" xr:uid="{00000000-0004-0000-0900-000015000000}"/>
    <hyperlink ref="L80" location="hd" display="See Discrete Runoff Method" xr:uid="{00000000-0004-0000-0900-000016000000}"/>
  </hyperlinks>
  <printOptions horizontalCentered="1"/>
  <pageMargins left="0.7" right="0.7" top="0.75" bottom="0.75" header="0.3" footer="0.3"/>
  <pageSetup scale="54" fitToHeight="2" orientation="portrait" copies="5" r:id="rId1"/>
  <headerFooter>
    <oddFooter>&amp;A&amp;RPage &amp;P</oddFooter>
  </headerFooter>
  <rowBreaks count="1" manualBreakCount="1">
    <brk id="49" min="1" max="10"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AA244"/>
  <sheetViews>
    <sheetView showRowColHeaders="0" zoomScale="85" zoomScaleNormal="85" workbookViewId="0">
      <selection activeCell="H34" sqref="H34"/>
    </sheetView>
  </sheetViews>
  <sheetFormatPr defaultRowHeight="15" x14ac:dyDescent="0.2"/>
  <cols>
    <col min="1" max="1" width="3.77734375" style="507" customWidth="1"/>
    <col min="2" max="2" width="25.6640625" style="161" customWidth="1"/>
    <col min="3" max="3" width="17.33203125" style="161" customWidth="1"/>
    <col min="4" max="4" width="8.6640625" style="161" customWidth="1"/>
    <col min="5" max="7" width="8.6640625" style="223" customWidth="1"/>
    <col min="8" max="11" width="8.6640625" style="161" customWidth="1"/>
    <col min="12" max="12" width="37.109375" style="160" bestFit="1" customWidth="1"/>
    <col min="13" max="27" width="8.88671875" style="507"/>
    <col min="28" max="16384" width="8.88671875" style="161"/>
  </cols>
  <sheetData>
    <row r="1" spans="2:12" ht="16.5" thickBot="1" x14ac:dyDescent="0.3">
      <c r="B1" s="787" t="s">
        <v>31</v>
      </c>
      <c r="C1" s="787"/>
      <c r="D1" s="787"/>
      <c r="E1" s="788">
        <f>'SITE DATA'!F9</f>
        <v>0</v>
      </c>
      <c r="F1" s="789"/>
      <c r="G1" s="789"/>
      <c r="H1" s="789"/>
      <c r="I1" s="789"/>
      <c r="J1" s="789"/>
      <c r="K1" s="790"/>
    </row>
    <row r="2" spans="2:12" x14ac:dyDescent="0.2">
      <c r="B2" s="507"/>
      <c r="C2" s="507"/>
      <c r="D2" s="507"/>
      <c r="E2" s="160"/>
      <c r="F2" s="160"/>
      <c r="G2" s="160"/>
      <c r="H2" s="507"/>
      <c r="I2" s="507"/>
      <c r="J2" s="507"/>
      <c r="K2" s="507"/>
    </row>
    <row r="3" spans="2:12" ht="18" x14ac:dyDescent="0.25">
      <c r="B3" s="797" t="s">
        <v>395</v>
      </c>
      <c r="C3" s="797"/>
      <c r="D3" s="797"/>
      <c r="E3" s="797"/>
      <c r="F3" s="797"/>
      <c r="G3" s="797"/>
      <c r="H3" s="797"/>
      <c r="I3" s="797"/>
      <c r="J3" s="797"/>
      <c r="K3" s="797"/>
      <c r="L3" s="162"/>
    </row>
    <row r="4" spans="2:12" ht="18" x14ac:dyDescent="0.25">
      <c r="B4" s="797" t="s">
        <v>8</v>
      </c>
      <c r="C4" s="797"/>
      <c r="D4" s="797"/>
      <c r="E4" s="797"/>
      <c r="F4" s="797"/>
      <c r="G4" s="797"/>
      <c r="H4" s="797"/>
      <c r="I4" s="797"/>
      <c r="J4" s="797"/>
      <c r="K4" s="797"/>
      <c r="L4" s="162"/>
    </row>
    <row r="5" spans="2:12" x14ac:dyDescent="0.2">
      <c r="B5" s="507"/>
      <c r="C5" s="507"/>
      <c r="D5" s="507"/>
      <c r="E5" s="160"/>
      <c r="F5" s="160"/>
      <c r="G5" s="160"/>
      <c r="H5" s="507"/>
      <c r="I5" s="507"/>
      <c r="J5" s="507"/>
      <c r="K5" s="507"/>
    </row>
    <row r="6" spans="2:12" x14ac:dyDescent="0.2">
      <c r="B6" s="507"/>
      <c r="C6" s="507"/>
      <c r="D6" s="507"/>
      <c r="E6" s="160"/>
      <c r="F6" s="160"/>
      <c r="G6" s="160"/>
      <c r="H6" s="507"/>
      <c r="I6" s="507"/>
      <c r="J6" s="507"/>
      <c r="K6" s="507"/>
    </row>
    <row r="7" spans="2:12" ht="15.75" thickBot="1" x14ac:dyDescent="0.25">
      <c r="B7" s="507"/>
      <c r="C7" s="507"/>
      <c r="D7" s="507"/>
      <c r="E7" s="160"/>
      <c r="F7" s="160"/>
      <c r="G7" s="160"/>
      <c r="H7" s="507"/>
      <c r="I7" s="507"/>
      <c r="J7" s="507"/>
      <c r="K7" s="507"/>
    </row>
    <row r="8" spans="2:12" ht="24.95" customHeight="1" thickTop="1" thickBot="1" x14ac:dyDescent="0.3">
      <c r="B8" s="801" t="s">
        <v>263</v>
      </c>
      <c r="C8" s="802"/>
      <c r="D8" s="798" t="s">
        <v>9</v>
      </c>
      <c r="E8" s="798"/>
      <c r="F8" s="798"/>
      <c r="G8" s="798"/>
      <c r="H8" s="798" t="s">
        <v>30</v>
      </c>
      <c r="I8" s="798"/>
      <c r="J8" s="798"/>
      <c r="K8" s="798"/>
      <c r="L8" s="238" t="s">
        <v>319</v>
      </c>
    </row>
    <row r="9" spans="2:12" ht="24.95" customHeight="1" thickTop="1" x14ac:dyDescent="0.2">
      <c r="B9" s="754" t="s">
        <v>92</v>
      </c>
      <c r="C9" s="791"/>
      <c r="D9" s="799"/>
      <c r="E9" s="725"/>
      <c r="F9" s="725"/>
      <c r="G9" s="800"/>
      <c r="H9" s="774"/>
      <c r="I9" s="775"/>
      <c r="J9" s="775"/>
      <c r="K9" s="776"/>
      <c r="L9" s="163" t="s">
        <v>486</v>
      </c>
    </row>
    <row r="10" spans="2:12" ht="24.95" customHeight="1" x14ac:dyDescent="0.2">
      <c r="B10" s="754" t="s">
        <v>93</v>
      </c>
      <c r="C10" s="791"/>
      <c r="D10" s="799"/>
      <c r="E10" s="725"/>
      <c r="F10" s="725"/>
      <c r="G10" s="800"/>
      <c r="H10" s="799"/>
      <c r="I10" s="725"/>
      <c r="J10" s="725"/>
      <c r="K10" s="800"/>
      <c r="L10" s="163"/>
    </row>
    <row r="11" spans="2:12" ht="24.95" customHeight="1" x14ac:dyDescent="0.2">
      <c r="B11" s="754" t="s">
        <v>226</v>
      </c>
      <c r="C11" s="791"/>
      <c r="D11" s="803">
        <f>'SITE DATA'!$F$26</f>
        <v>0</v>
      </c>
      <c r="E11" s="683"/>
      <c r="F11" s="683"/>
      <c r="G11" s="683"/>
      <c r="H11" s="683"/>
      <c r="I11" s="683"/>
      <c r="J11" s="683"/>
      <c r="K11" s="804"/>
      <c r="L11" s="566"/>
    </row>
    <row r="12" spans="2:12" ht="24.95" customHeight="1" x14ac:dyDescent="0.2">
      <c r="B12" s="754" t="s">
        <v>329</v>
      </c>
      <c r="C12" s="791"/>
      <c r="D12" s="803">
        <f>'SITE DATA'!$F$27</f>
        <v>0</v>
      </c>
      <c r="E12" s="683"/>
      <c r="F12" s="683"/>
      <c r="G12" s="683"/>
      <c r="H12" s="683"/>
      <c r="I12" s="683"/>
      <c r="J12" s="683"/>
      <c r="K12" s="804"/>
      <c r="L12" s="566" t="s">
        <v>266</v>
      </c>
    </row>
    <row r="13" spans="2:12" ht="24.95" customHeight="1" x14ac:dyDescent="0.2">
      <c r="B13" s="754" t="s">
        <v>375</v>
      </c>
      <c r="C13" s="791"/>
      <c r="D13" s="803">
        <f>'SITE DATA'!$F$28</f>
        <v>0</v>
      </c>
      <c r="E13" s="683"/>
      <c r="F13" s="683"/>
      <c r="G13" s="683"/>
      <c r="H13" s="683"/>
      <c r="I13" s="683"/>
      <c r="J13" s="683"/>
      <c r="K13" s="804"/>
      <c r="L13" s="566"/>
    </row>
    <row r="14" spans="2:12" ht="24.95" customHeight="1" x14ac:dyDescent="0.2">
      <c r="B14" s="754" t="s">
        <v>307</v>
      </c>
      <c r="C14" s="791"/>
      <c r="D14" s="792"/>
      <c r="E14" s="793"/>
      <c r="F14" s="793"/>
      <c r="G14" s="793"/>
      <c r="H14" s="793"/>
      <c r="I14" s="793"/>
      <c r="J14" s="793"/>
      <c r="K14" s="793"/>
      <c r="L14" s="163"/>
    </row>
    <row r="15" spans="2:12" ht="24.95" customHeight="1" x14ac:dyDescent="0.2">
      <c r="B15" s="754" t="s">
        <v>306</v>
      </c>
      <c r="C15" s="791"/>
      <c r="D15" s="793"/>
      <c r="E15" s="793"/>
      <c r="F15" s="793"/>
      <c r="G15" s="793"/>
      <c r="H15" s="793"/>
      <c r="I15" s="793"/>
      <c r="J15" s="793"/>
      <c r="K15" s="793"/>
      <c r="L15" s="163"/>
    </row>
    <row r="16" spans="2:12" ht="24.95" customHeight="1" x14ac:dyDescent="0.2">
      <c r="B16" s="784" t="s">
        <v>487</v>
      </c>
      <c r="C16" s="785"/>
      <c r="D16" s="429" t="s">
        <v>15</v>
      </c>
      <c r="E16" s="430" t="s">
        <v>16</v>
      </c>
      <c r="F16" s="430" t="s">
        <v>18</v>
      </c>
      <c r="G16" s="431" t="s">
        <v>17</v>
      </c>
      <c r="H16" s="432" t="s">
        <v>15</v>
      </c>
      <c r="I16" s="430" t="s">
        <v>16</v>
      </c>
      <c r="J16" s="430" t="s">
        <v>18</v>
      </c>
      <c r="K16" s="431" t="s">
        <v>17</v>
      </c>
      <c r="L16" s="766" t="s">
        <v>177</v>
      </c>
    </row>
    <row r="17" spans="2:12" ht="24.95" customHeight="1" x14ac:dyDescent="0.2">
      <c r="B17" s="754" t="s">
        <v>12</v>
      </c>
      <c r="C17" s="791"/>
      <c r="D17" s="428"/>
      <c r="E17" s="416"/>
      <c r="F17" s="416"/>
      <c r="G17" s="427"/>
      <c r="H17" s="428"/>
      <c r="I17" s="416"/>
      <c r="J17" s="416"/>
      <c r="K17" s="427"/>
      <c r="L17" s="766"/>
    </row>
    <row r="18" spans="2:12" ht="24.95" customHeight="1" x14ac:dyDescent="0.2">
      <c r="B18" s="754" t="s">
        <v>253</v>
      </c>
      <c r="C18" s="791"/>
      <c r="D18" s="428"/>
      <c r="E18" s="416"/>
      <c r="F18" s="416"/>
      <c r="G18" s="427"/>
      <c r="H18" s="428"/>
      <c r="I18" s="416"/>
      <c r="J18" s="416"/>
      <c r="K18" s="427"/>
      <c r="L18" s="766"/>
    </row>
    <row r="19" spans="2:12" ht="24.95" customHeight="1" x14ac:dyDescent="0.2">
      <c r="B19" s="754" t="s">
        <v>260</v>
      </c>
      <c r="C19" s="791"/>
      <c r="D19" s="428"/>
      <c r="E19" s="416"/>
      <c r="F19" s="416"/>
      <c r="G19" s="427"/>
      <c r="H19" s="428"/>
      <c r="I19" s="416"/>
      <c r="J19" s="416"/>
      <c r="K19" s="427"/>
      <c r="L19" s="766"/>
    </row>
    <row r="20" spans="2:12" ht="24.95" customHeight="1" x14ac:dyDescent="0.2">
      <c r="B20" s="754" t="s">
        <v>259</v>
      </c>
      <c r="C20" s="791"/>
      <c r="D20" s="428"/>
      <c r="E20" s="416"/>
      <c r="F20" s="416"/>
      <c r="G20" s="427"/>
      <c r="H20" s="428"/>
      <c r="I20" s="416"/>
      <c r="J20" s="416"/>
      <c r="K20" s="427"/>
      <c r="L20" s="766"/>
    </row>
    <row r="21" spans="2:12" ht="24.95" customHeight="1" x14ac:dyDescent="0.2">
      <c r="B21" s="754" t="s">
        <v>255</v>
      </c>
      <c r="C21" s="791"/>
      <c r="D21" s="428"/>
      <c r="E21" s="416"/>
      <c r="F21" s="416"/>
      <c r="G21" s="427"/>
      <c r="H21" s="428"/>
      <c r="I21" s="416"/>
      <c r="J21" s="416"/>
      <c r="K21" s="427"/>
      <c r="L21" s="766"/>
    </row>
    <row r="22" spans="2:12" ht="24.95" customHeight="1" x14ac:dyDescent="0.2">
      <c r="B22" s="754" t="s">
        <v>262</v>
      </c>
      <c r="C22" s="791"/>
      <c r="D22" s="428"/>
      <c r="E22" s="416"/>
      <c r="F22" s="416"/>
      <c r="G22" s="427"/>
      <c r="H22" s="428"/>
      <c r="I22" s="416"/>
      <c r="J22" s="416"/>
      <c r="K22" s="427"/>
      <c r="L22" s="766"/>
    </row>
    <row r="23" spans="2:12" ht="24.95" customHeight="1" x14ac:dyDescent="0.2">
      <c r="B23" s="754" t="s">
        <v>261</v>
      </c>
      <c r="C23" s="791"/>
      <c r="D23" s="428"/>
      <c r="E23" s="416"/>
      <c r="F23" s="416"/>
      <c r="G23" s="427"/>
      <c r="H23" s="428"/>
      <c r="I23" s="416"/>
      <c r="J23" s="416"/>
      <c r="K23" s="427"/>
      <c r="L23" s="766"/>
    </row>
    <row r="24" spans="2:12" ht="24.95" customHeight="1" x14ac:dyDescent="0.2">
      <c r="B24" s="754" t="s">
        <v>245</v>
      </c>
      <c r="C24" s="791"/>
      <c r="D24" s="428"/>
      <c r="E24" s="416"/>
      <c r="F24" s="416"/>
      <c r="G24" s="427"/>
      <c r="H24" s="428"/>
      <c r="I24" s="416"/>
      <c r="J24" s="416"/>
      <c r="K24" s="427"/>
      <c r="L24" s="766"/>
    </row>
    <row r="25" spans="2:12" ht="24.95" customHeight="1" x14ac:dyDescent="0.25">
      <c r="B25" s="754" t="s">
        <v>369</v>
      </c>
      <c r="C25" s="791"/>
      <c r="D25" s="428"/>
      <c r="E25" s="416"/>
      <c r="F25" s="416"/>
      <c r="G25" s="427"/>
      <c r="H25" s="428"/>
      <c r="I25" s="416"/>
      <c r="J25" s="416"/>
      <c r="K25" s="427"/>
      <c r="L25" s="417"/>
    </row>
    <row r="26" spans="2:12" ht="24.95" customHeight="1" thickBot="1" x14ac:dyDescent="0.3">
      <c r="B26" s="830" t="s">
        <v>368</v>
      </c>
      <c r="C26" s="831"/>
      <c r="D26" s="433"/>
      <c r="E26" s="434"/>
      <c r="F26" s="434"/>
      <c r="G26" s="435"/>
      <c r="H26" s="433"/>
      <c r="I26" s="434"/>
      <c r="J26" s="434"/>
      <c r="K26" s="435"/>
      <c r="L26" s="417" t="str">
        <f>IF(OR(SUM($H$17:$K$26)&gt;$H$10,SUM($H$17:$K$26)&lt;$H$10),"LAND USE MUST MATCH SITE ACREAGE","")</f>
        <v/>
      </c>
    </row>
    <row r="27" spans="2:12" ht="24.95" customHeight="1" thickTop="1" thickBot="1" x14ac:dyDescent="0.25">
      <c r="B27" s="443" t="s">
        <v>264</v>
      </c>
      <c r="C27" s="444"/>
      <c r="D27" s="805" t="s">
        <v>56</v>
      </c>
      <c r="E27" s="805"/>
      <c r="F27" s="805"/>
      <c r="G27" s="805"/>
      <c r="H27" s="805" t="s">
        <v>57</v>
      </c>
      <c r="I27" s="805"/>
      <c r="J27" s="805"/>
      <c r="K27" s="805"/>
      <c r="L27" s="418"/>
    </row>
    <row r="28" spans="2:12" ht="24.95" customHeight="1" thickTop="1" x14ac:dyDescent="0.2">
      <c r="B28" s="795" t="s">
        <v>404</v>
      </c>
      <c r="C28" s="796"/>
      <c r="D28" s="794"/>
      <c r="E28" s="794"/>
      <c r="F28" s="794"/>
      <c r="G28" s="794"/>
      <c r="H28" s="794"/>
      <c r="I28" s="794"/>
      <c r="J28" s="794"/>
      <c r="K28" s="794"/>
      <c r="L28" s="736"/>
    </row>
    <row r="29" spans="2:12" ht="24.95" customHeight="1" x14ac:dyDescent="0.2">
      <c r="B29" s="770" t="s">
        <v>87</v>
      </c>
      <c r="C29" s="771"/>
      <c r="D29" s="774"/>
      <c r="E29" s="775"/>
      <c r="F29" s="775"/>
      <c r="G29" s="776"/>
      <c r="H29" s="774"/>
      <c r="I29" s="775"/>
      <c r="J29" s="775"/>
      <c r="K29" s="776"/>
      <c r="L29" s="736"/>
    </row>
    <row r="30" spans="2:12" ht="24.95" customHeight="1" x14ac:dyDescent="0.2">
      <c r="B30" s="770" t="s">
        <v>88</v>
      </c>
      <c r="C30" s="771"/>
      <c r="D30" s="777"/>
      <c r="E30" s="778"/>
      <c r="F30" s="778"/>
      <c r="G30" s="779"/>
      <c r="H30" s="777"/>
      <c r="I30" s="778"/>
      <c r="J30" s="778"/>
      <c r="K30" s="779"/>
      <c r="L30" s="766" t="s">
        <v>95</v>
      </c>
    </row>
    <row r="31" spans="2:12" ht="24.95" customHeight="1" x14ac:dyDescent="0.2">
      <c r="B31" s="770" t="s">
        <v>60</v>
      </c>
      <c r="C31" s="771"/>
      <c r="D31" s="774"/>
      <c r="E31" s="775"/>
      <c r="F31" s="775"/>
      <c r="G31" s="776"/>
      <c r="H31" s="774"/>
      <c r="I31" s="775"/>
      <c r="J31" s="775"/>
      <c r="K31" s="776"/>
      <c r="L31" s="766"/>
    </row>
    <row r="32" spans="2:12" ht="24.95" customHeight="1" x14ac:dyDescent="0.2">
      <c r="B32" s="781" t="s">
        <v>86</v>
      </c>
      <c r="C32" s="782"/>
      <c r="D32" s="769" t="str">
        <f>IF(D31=$B$143,$G$143,IF(D31=$B$144,$G$144,IF(D31=$B$145,$G$145,"")))</f>
        <v/>
      </c>
      <c r="E32" s="769"/>
      <c r="F32" s="769"/>
      <c r="G32" s="769"/>
      <c r="H32" s="769" t="str">
        <f>IF(H31=$B$143,$G$143,IF(H31=$B$144,$G$144,IF(H31=$B$145,$G$145,"")))</f>
        <v/>
      </c>
      <c r="I32" s="769"/>
      <c r="J32" s="769"/>
      <c r="K32" s="769"/>
      <c r="L32" s="766"/>
    </row>
    <row r="33" spans="2:12" ht="24.95" customHeight="1" x14ac:dyDescent="0.2">
      <c r="B33" s="770" t="s">
        <v>89</v>
      </c>
      <c r="C33" s="780"/>
      <c r="D33" s="769">
        <f>IF(D29&gt;0,(0.007*(D32*D29)^0.8)/(($D$11^0.5)*(D30^0.4)),0)</f>
        <v>0</v>
      </c>
      <c r="E33" s="769"/>
      <c r="F33" s="769"/>
      <c r="G33" s="769"/>
      <c r="H33" s="769">
        <f>IF(H29&gt;0,(0.007*(H32*H29)^0.8)/(($D$11^0.5)*(H30^0.4)),0)</f>
        <v>0</v>
      </c>
      <c r="I33" s="769"/>
      <c r="J33" s="769"/>
      <c r="K33" s="769"/>
      <c r="L33" s="766"/>
    </row>
    <row r="34" spans="2:12" ht="24.95" customHeight="1" x14ac:dyDescent="0.2">
      <c r="B34" s="795" t="s">
        <v>405</v>
      </c>
      <c r="C34" s="796"/>
      <c r="D34" s="570"/>
      <c r="E34" s="570"/>
      <c r="F34" s="570"/>
      <c r="G34" s="570"/>
      <c r="H34" s="570"/>
      <c r="I34" s="570"/>
      <c r="J34" s="570"/>
      <c r="K34" s="571"/>
      <c r="L34" s="419"/>
    </row>
    <row r="35" spans="2:12" ht="24.95" customHeight="1" x14ac:dyDescent="0.2">
      <c r="B35" s="770" t="s">
        <v>87</v>
      </c>
      <c r="C35" s="771"/>
      <c r="D35" s="774"/>
      <c r="E35" s="775"/>
      <c r="F35" s="775"/>
      <c r="G35" s="776"/>
      <c r="H35" s="774"/>
      <c r="I35" s="775"/>
      <c r="J35" s="775"/>
      <c r="K35" s="776"/>
      <c r="L35" s="163"/>
    </row>
    <row r="36" spans="2:12" ht="24.95" customHeight="1" x14ac:dyDescent="0.2">
      <c r="B36" s="770" t="s">
        <v>88</v>
      </c>
      <c r="C36" s="771"/>
      <c r="D36" s="777"/>
      <c r="E36" s="778"/>
      <c r="F36" s="778"/>
      <c r="G36" s="779"/>
      <c r="H36" s="777"/>
      <c r="I36" s="778"/>
      <c r="J36" s="778"/>
      <c r="K36" s="779"/>
      <c r="L36" s="163"/>
    </row>
    <row r="37" spans="2:12" ht="24.95" customHeight="1" x14ac:dyDescent="0.2">
      <c r="B37" s="770" t="s">
        <v>60</v>
      </c>
      <c r="C37" s="771"/>
      <c r="D37" s="774"/>
      <c r="E37" s="775"/>
      <c r="F37" s="775"/>
      <c r="G37" s="776"/>
      <c r="H37" s="774"/>
      <c r="I37" s="775"/>
      <c r="J37" s="775"/>
      <c r="K37" s="776"/>
      <c r="L37" s="163"/>
    </row>
    <row r="38" spans="2:12" ht="24.95" customHeight="1" x14ac:dyDescent="0.2">
      <c r="B38" s="781" t="s">
        <v>96</v>
      </c>
      <c r="C38" s="782"/>
      <c r="D38" s="783">
        <f>IF(D37="Unpaved",16.1345*D36^0.5,IF(D37="Paved",20.32828*D36^0.5,0))</f>
        <v>0</v>
      </c>
      <c r="E38" s="783"/>
      <c r="F38" s="783"/>
      <c r="G38" s="783"/>
      <c r="H38" s="783">
        <f>IF(H37="Unpaved",16.1345*H36^0.5,IF(H37="Paved",20.32828*H36^0.5,0))</f>
        <v>0</v>
      </c>
      <c r="I38" s="783"/>
      <c r="J38" s="783"/>
      <c r="K38" s="783"/>
      <c r="L38" s="766" t="s">
        <v>131</v>
      </c>
    </row>
    <row r="39" spans="2:12" ht="24.95" customHeight="1" x14ac:dyDescent="0.2">
      <c r="B39" s="770" t="s">
        <v>89</v>
      </c>
      <c r="C39" s="780"/>
      <c r="D39" s="783">
        <f>IF(D38&gt;0,D35/(3600*D38),0)</f>
        <v>0</v>
      </c>
      <c r="E39" s="783"/>
      <c r="F39" s="783"/>
      <c r="G39" s="783"/>
      <c r="H39" s="783">
        <f>IF(H38&gt;0,H35/(3600*H38),0)</f>
        <v>0</v>
      </c>
      <c r="I39" s="783"/>
      <c r="J39" s="783"/>
      <c r="K39" s="783"/>
      <c r="L39" s="766"/>
    </row>
    <row r="40" spans="2:12" ht="24.95" customHeight="1" x14ac:dyDescent="0.2">
      <c r="B40" s="784" t="s">
        <v>406</v>
      </c>
      <c r="C40" s="785"/>
      <c r="D40" s="772"/>
      <c r="E40" s="772"/>
      <c r="F40" s="772"/>
      <c r="G40" s="772"/>
      <c r="H40" s="772"/>
      <c r="I40" s="772"/>
      <c r="J40" s="772"/>
      <c r="K40" s="773"/>
      <c r="L40" s="163"/>
    </row>
    <row r="41" spans="2:12" ht="24.95" customHeight="1" x14ac:dyDescent="0.2">
      <c r="B41" s="770" t="s">
        <v>87</v>
      </c>
      <c r="C41" s="771"/>
      <c r="D41" s="739"/>
      <c r="E41" s="739"/>
      <c r="F41" s="739"/>
      <c r="G41" s="739"/>
      <c r="H41" s="774"/>
      <c r="I41" s="775"/>
      <c r="J41" s="775"/>
      <c r="K41" s="776"/>
      <c r="L41" s="163"/>
    </row>
    <row r="42" spans="2:12" ht="24.95" customHeight="1" x14ac:dyDescent="0.2">
      <c r="B42" s="770" t="s">
        <v>88</v>
      </c>
      <c r="C42" s="771"/>
      <c r="D42" s="786"/>
      <c r="E42" s="786"/>
      <c r="F42" s="786"/>
      <c r="G42" s="786"/>
      <c r="H42" s="777"/>
      <c r="I42" s="778"/>
      <c r="J42" s="778"/>
      <c r="K42" s="779"/>
      <c r="L42" s="163"/>
    </row>
    <row r="43" spans="2:12" ht="24.95" customHeight="1" x14ac:dyDescent="0.2">
      <c r="B43" s="770" t="s">
        <v>108</v>
      </c>
      <c r="C43" s="771"/>
      <c r="D43" s="739"/>
      <c r="E43" s="739"/>
      <c r="F43" s="739"/>
      <c r="G43" s="739"/>
      <c r="H43" s="774"/>
      <c r="I43" s="775"/>
      <c r="J43" s="775"/>
      <c r="K43" s="776"/>
      <c r="L43" s="163"/>
    </row>
    <row r="44" spans="2:12" ht="24.95" customHeight="1" x14ac:dyDescent="0.2">
      <c r="B44" s="767" t="s">
        <v>90</v>
      </c>
      <c r="C44" s="768"/>
      <c r="D44" s="739"/>
      <c r="E44" s="739"/>
      <c r="F44" s="739"/>
      <c r="G44" s="739"/>
      <c r="H44" s="774"/>
      <c r="I44" s="775"/>
      <c r="J44" s="775"/>
      <c r="K44" s="776"/>
      <c r="L44" s="163"/>
    </row>
    <row r="45" spans="2:12" ht="24.95" customHeight="1" x14ac:dyDescent="0.2">
      <c r="B45" s="770" t="s">
        <v>116</v>
      </c>
      <c r="C45" s="771"/>
      <c r="D45" s="739"/>
      <c r="E45" s="739"/>
      <c r="F45" s="739"/>
      <c r="G45" s="739"/>
      <c r="H45" s="774"/>
      <c r="I45" s="775"/>
      <c r="J45" s="775"/>
      <c r="K45" s="776"/>
      <c r="L45" s="163"/>
    </row>
    <row r="46" spans="2:12" ht="24.95" customHeight="1" x14ac:dyDescent="0.2">
      <c r="B46" s="781" t="s">
        <v>86</v>
      </c>
      <c r="C46" s="782"/>
      <c r="D46" s="769" t="str">
        <f>IF(D45="Asphalt",$G$151,IF(D45="Concrete, finished",$G$152,IF(D45="Concrete, unfinished",$G$153,IF(D45="Grass",$G$154,IF(D45="Gravel Bottom/riprap sides",$G$155,IF(D45="Weeds",$G$156,""))))))</f>
        <v/>
      </c>
      <c r="E46" s="769"/>
      <c r="F46" s="769"/>
      <c r="G46" s="769"/>
      <c r="H46" s="769" t="str">
        <f>IF(H45="Asphalt",$G$151,IF(H45="Concrete, finished",$G$152,IF(H45="Concrete, unfinished",$G$153,IF(H45="Grass",$G$154,IF(H45="Gravel Bottom/riprap sides",$G$155,IF(H45="Weeds",$G$156,""))))))</f>
        <v/>
      </c>
      <c r="I46" s="769"/>
      <c r="J46" s="769"/>
      <c r="K46" s="769"/>
      <c r="L46" s="766" t="s">
        <v>174</v>
      </c>
    </row>
    <row r="47" spans="2:12" ht="24.95" customHeight="1" x14ac:dyDescent="0.2">
      <c r="B47" s="781" t="s">
        <v>109</v>
      </c>
      <c r="C47" s="782"/>
      <c r="D47" s="783">
        <f>IF(ISERROR(D43/D44),0,D43/D44)</f>
        <v>0</v>
      </c>
      <c r="E47" s="783"/>
      <c r="F47" s="783"/>
      <c r="G47" s="783"/>
      <c r="H47" s="783">
        <f>IF(ISERROR(H43/H44),0,H43/H44)</f>
        <v>0</v>
      </c>
      <c r="I47" s="783"/>
      <c r="J47" s="783"/>
      <c r="K47" s="783"/>
      <c r="L47" s="766"/>
    </row>
    <row r="48" spans="2:12" ht="24.95" customHeight="1" x14ac:dyDescent="0.2">
      <c r="B48" s="781" t="s">
        <v>96</v>
      </c>
      <c r="C48" s="782"/>
      <c r="D48" s="783">
        <f>IF(D44&gt;0,(1.49*(D47^(2/3))*(D42^0.5))/D46,0)</f>
        <v>0</v>
      </c>
      <c r="E48" s="783"/>
      <c r="F48" s="783"/>
      <c r="G48" s="783"/>
      <c r="H48" s="783">
        <f>IF(H44&gt;0,(1.49*(H47^(2/3))*(H42^0.5))/H46,0)</f>
        <v>0</v>
      </c>
      <c r="I48" s="783"/>
      <c r="J48" s="783"/>
      <c r="K48" s="783"/>
      <c r="L48" s="766"/>
    </row>
    <row r="49" spans="2:12" ht="24.95" customHeight="1" x14ac:dyDescent="0.2">
      <c r="B49" s="770" t="s">
        <v>89</v>
      </c>
      <c r="C49" s="780"/>
      <c r="D49" s="783">
        <f>IF(D44&gt;0,D41/(3600*D48),0)</f>
        <v>0</v>
      </c>
      <c r="E49" s="783"/>
      <c r="F49" s="783"/>
      <c r="G49" s="783"/>
      <c r="H49" s="783">
        <f>IF(H44&gt;0,H41/(3600*H48),0)</f>
        <v>0</v>
      </c>
      <c r="I49" s="783"/>
      <c r="J49" s="783"/>
      <c r="K49" s="783"/>
      <c r="L49" s="766"/>
    </row>
    <row r="50" spans="2:12" ht="24.95" customHeight="1" x14ac:dyDescent="0.2">
      <c r="B50" s="784" t="s">
        <v>407</v>
      </c>
      <c r="C50" s="785"/>
      <c r="D50" s="772"/>
      <c r="E50" s="772"/>
      <c r="F50" s="772"/>
      <c r="G50" s="772"/>
      <c r="H50" s="772"/>
      <c r="I50" s="772"/>
      <c r="J50" s="772"/>
      <c r="K50" s="773"/>
      <c r="L50" s="163"/>
    </row>
    <row r="51" spans="2:12" ht="24.95" customHeight="1" x14ac:dyDescent="0.2">
      <c r="B51" s="770" t="s">
        <v>87</v>
      </c>
      <c r="C51" s="771"/>
      <c r="D51" s="739"/>
      <c r="E51" s="739"/>
      <c r="F51" s="739"/>
      <c r="G51" s="739"/>
      <c r="H51" s="739"/>
      <c r="I51" s="739"/>
      <c r="J51" s="739"/>
      <c r="K51" s="739"/>
      <c r="L51" s="163"/>
    </row>
    <row r="52" spans="2:12" ht="24.95" customHeight="1" x14ac:dyDescent="0.2">
      <c r="B52" s="770" t="s">
        <v>88</v>
      </c>
      <c r="C52" s="771"/>
      <c r="D52" s="786"/>
      <c r="E52" s="786"/>
      <c r="F52" s="786"/>
      <c r="G52" s="786"/>
      <c r="H52" s="786"/>
      <c r="I52" s="786"/>
      <c r="J52" s="786"/>
      <c r="K52" s="786"/>
      <c r="L52" s="163"/>
    </row>
    <row r="53" spans="2:12" ht="24.95" customHeight="1" x14ac:dyDescent="0.2">
      <c r="B53" s="770" t="s">
        <v>108</v>
      </c>
      <c r="C53" s="771"/>
      <c r="D53" s="739"/>
      <c r="E53" s="739"/>
      <c r="F53" s="739"/>
      <c r="G53" s="739"/>
      <c r="H53" s="739"/>
      <c r="I53" s="739"/>
      <c r="J53" s="739"/>
      <c r="K53" s="739"/>
      <c r="L53" s="163"/>
    </row>
    <row r="54" spans="2:12" ht="24.95" customHeight="1" x14ac:dyDescent="0.2">
      <c r="B54" s="767" t="s">
        <v>90</v>
      </c>
      <c r="C54" s="768"/>
      <c r="D54" s="739"/>
      <c r="E54" s="739"/>
      <c r="F54" s="739"/>
      <c r="G54" s="739"/>
      <c r="H54" s="739"/>
      <c r="I54" s="739"/>
      <c r="J54" s="739"/>
      <c r="K54" s="739"/>
      <c r="L54" s="163"/>
    </row>
    <row r="55" spans="2:12" ht="24.95" customHeight="1" x14ac:dyDescent="0.2">
      <c r="B55" s="770" t="s">
        <v>116</v>
      </c>
      <c r="C55" s="771"/>
      <c r="D55" s="739"/>
      <c r="E55" s="739"/>
      <c r="F55" s="739"/>
      <c r="G55" s="739"/>
      <c r="H55" s="739"/>
      <c r="I55" s="739"/>
      <c r="J55" s="739"/>
      <c r="K55" s="739"/>
      <c r="L55" s="163"/>
    </row>
    <row r="56" spans="2:12" ht="24.95" customHeight="1" x14ac:dyDescent="0.2">
      <c r="B56" s="781" t="s">
        <v>86</v>
      </c>
      <c r="C56" s="782"/>
      <c r="D56" s="769" t="str">
        <f>IF(D55="Asphalt",$G$151,IF(D55="Concrete, finished",$G$152,IF(D55="Concrete, unfinished",$G$153,IF(D55="Grass",$G$154,IF(D55="Gravel Bottom/riprap sides",$G$155,IF(D55="Weeds",$G$156,""))))))</f>
        <v/>
      </c>
      <c r="E56" s="769"/>
      <c r="F56" s="769"/>
      <c r="G56" s="769"/>
      <c r="H56" s="769" t="str">
        <f>IF(H55="Asphalt",$G$151,IF(H55="Concrete, finished",$G$152,IF(H55="Concrete, unfinished",$G$153,IF(H55="Grass",$G$154,IF(H55="Gravel Bottom/riprap sides",$G$155,IF(H55="Weeds",$G$156,""))))))</f>
        <v/>
      </c>
      <c r="I56" s="769"/>
      <c r="J56" s="769"/>
      <c r="K56" s="769"/>
      <c r="L56" s="766" t="s">
        <v>174</v>
      </c>
    </row>
    <row r="57" spans="2:12" ht="24.95" customHeight="1" x14ac:dyDescent="0.2">
      <c r="B57" s="781" t="s">
        <v>109</v>
      </c>
      <c r="C57" s="782"/>
      <c r="D57" s="783">
        <f>IF(ISERROR(D53/D54),0,D53/D54)</f>
        <v>0</v>
      </c>
      <c r="E57" s="783"/>
      <c r="F57" s="783"/>
      <c r="G57" s="783"/>
      <c r="H57" s="783">
        <f>IF(ISERROR(H53/H54),0,H53/H54)</f>
        <v>0</v>
      </c>
      <c r="I57" s="783"/>
      <c r="J57" s="783"/>
      <c r="K57" s="783"/>
      <c r="L57" s="766"/>
    </row>
    <row r="58" spans="2:12" ht="24.95" customHeight="1" x14ac:dyDescent="0.2">
      <c r="B58" s="781" t="s">
        <v>96</v>
      </c>
      <c r="C58" s="782"/>
      <c r="D58" s="783">
        <f>IF(D54&gt;0,(1.49*(D57^(2/3))*(D52^0.5))/D56,0)</f>
        <v>0</v>
      </c>
      <c r="E58" s="783"/>
      <c r="F58" s="783"/>
      <c r="G58" s="783"/>
      <c r="H58" s="783">
        <f>IF(H54&gt;0,(1.49*(H57^(2/3))*(H52^0.5))/H56,0)</f>
        <v>0</v>
      </c>
      <c r="I58" s="783"/>
      <c r="J58" s="783"/>
      <c r="K58" s="783"/>
      <c r="L58" s="766"/>
    </row>
    <row r="59" spans="2:12" ht="24.95" customHeight="1" x14ac:dyDescent="0.2">
      <c r="B59" s="770" t="s">
        <v>89</v>
      </c>
      <c r="C59" s="780"/>
      <c r="D59" s="783">
        <f>IF(D54&gt;0,D51/(3600*D58),0)</f>
        <v>0</v>
      </c>
      <c r="E59" s="783"/>
      <c r="F59" s="783"/>
      <c r="G59" s="783"/>
      <c r="H59" s="783">
        <f>IF(H54&gt;0,H51/(3600*H58),0)</f>
        <v>0</v>
      </c>
      <c r="I59" s="783"/>
      <c r="J59" s="783"/>
      <c r="K59" s="783"/>
      <c r="L59" s="766"/>
    </row>
    <row r="60" spans="2:12" ht="24.95" customHeight="1" x14ac:dyDescent="0.2">
      <c r="B60" s="784" t="s">
        <v>408</v>
      </c>
      <c r="C60" s="785"/>
      <c r="D60" s="772"/>
      <c r="E60" s="772"/>
      <c r="F60" s="772"/>
      <c r="G60" s="772"/>
      <c r="H60" s="772"/>
      <c r="I60" s="772"/>
      <c r="J60" s="772"/>
      <c r="K60" s="773"/>
      <c r="L60" s="163"/>
    </row>
    <row r="61" spans="2:12" ht="24.95" customHeight="1" x14ac:dyDescent="0.2">
      <c r="B61" s="770" t="s">
        <v>87</v>
      </c>
      <c r="C61" s="771"/>
      <c r="D61" s="739"/>
      <c r="E61" s="739"/>
      <c r="F61" s="739"/>
      <c r="G61" s="739"/>
      <c r="H61" s="739"/>
      <c r="I61" s="739"/>
      <c r="J61" s="739"/>
      <c r="K61" s="739"/>
      <c r="L61" s="163"/>
    </row>
    <row r="62" spans="2:12" ht="24.95" customHeight="1" x14ac:dyDescent="0.2">
      <c r="B62" s="770" t="s">
        <v>88</v>
      </c>
      <c r="C62" s="771"/>
      <c r="D62" s="786"/>
      <c r="E62" s="786"/>
      <c r="F62" s="786"/>
      <c r="G62" s="786"/>
      <c r="H62" s="786"/>
      <c r="I62" s="786"/>
      <c r="J62" s="786"/>
      <c r="K62" s="786"/>
      <c r="L62" s="163"/>
    </row>
    <row r="63" spans="2:12" ht="24.95" customHeight="1" x14ac:dyDescent="0.2">
      <c r="B63" s="770" t="s">
        <v>108</v>
      </c>
      <c r="C63" s="771"/>
      <c r="D63" s="739"/>
      <c r="E63" s="739"/>
      <c r="F63" s="739"/>
      <c r="G63" s="739"/>
      <c r="H63" s="739"/>
      <c r="I63" s="739"/>
      <c r="J63" s="739"/>
      <c r="K63" s="739"/>
      <c r="L63" s="163"/>
    </row>
    <row r="64" spans="2:12" ht="24.95" customHeight="1" x14ac:dyDescent="0.2">
      <c r="B64" s="821" t="s">
        <v>90</v>
      </c>
      <c r="C64" s="822"/>
      <c r="D64" s="739"/>
      <c r="E64" s="739"/>
      <c r="F64" s="739"/>
      <c r="G64" s="739"/>
      <c r="H64" s="739"/>
      <c r="I64" s="739"/>
      <c r="J64" s="739"/>
      <c r="K64" s="739"/>
      <c r="L64" s="163"/>
    </row>
    <row r="65" spans="1:27" ht="24.95" customHeight="1" x14ac:dyDescent="0.2">
      <c r="B65" s="770" t="s">
        <v>116</v>
      </c>
      <c r="C65" s="771"/>
      <c r="D65" s="739"/>
      <c r="E65" s="739"/>
      <c r="F65" s="739"/>
      <c r="G65" s="739"/>
      <c r="H65" s="739"/>
      <c r="I65" s="739"/>
      <c r="J65" s="739"/>
      <c r="K65" s="739"/>
      <c r="L65" s="163"/>
    </row>
    <row r="66" spans="1:27" ht="24.95" customHeight="1" x14ac:dyDescent="0.2">
      <c r="B66" s="781" t="s">
        <v>86</v>
      </c>
      <c r="C66" s="782"/>
      <c r="D66" s="769" t="str">
        <f>IF(D65="Asphalt",$G$151,IF(D65="Concrete, finished",$G$152,IF(D65="Concrete, unfinished",$G$153,IF(D65="Grass",$G$154,IF(D65="Gravel Bottom/riprap sides",$G$155,IF(D65="Weeds",$G$156,""))))))</f>
        <v/>
      </c>
      <c r="E66" s="769"/>
      <c r="F66" s="769"/>
      <c r="G66" s="769"/>
      <c r="H66" s="769" t="str">
        <f>IF(H65="Asphalt",$G$151,IF(H65="Concrete, finished",$G$152,IF(H65="Concrete, unfinished",$G$153,IF(H65="Grass",$G$154,IF(H65="Gravel Bottom/riprap sides",$G$155,IF(H65="Weeds",$G$156,""))))))</f>
        <v/>
      </c>
      <c r="I66" s="769"/>
      <c r="J66" s="769"/>
      <c r="K66" s="769"/>
      <c r="L66" s="766" t="s">
        <v>174</v>
      </c>
    </row>
    <row r="67" spans="1:27" ht="24.95" customHeight="1" x14ac:dyDescent="0.2">
      <c r="B67" s="781" t="s">
        <v>109</v>
      </c>
      <c r="C67" s="782"/>
      <c r="D67" s="783">
        <f>IF(ISERROR(D63/D64),0,D63/D64)</f>
        <v>0</v>
      </c>
      <c r="E67" s="783"/>
      <c r="F67" s="783"/>
      <c r="G67" s="783"/>
      <c r="H67" s="783">
        <f>IF(ISERROR(H63/H64),0,H63/H64)</f>
        <v>0</v>
      </c>
      <c r="I67" s="783"/>
      <c r="J67" s="783"/>
      <c r="K67" s="783"/>
      <c r="L67" s="766"/>
    </row>
    <row r="68" spans="1:27" ht="24.95" customHeight="1" x14ac:dyDescent="0.2">
      <c r="B68" s="781" t="s">
        <v>96</v>
      </c>
      <c r="C68" s="782"/>
      <c r="D68" s="783">
        <f>IF(D64&gt;0,(1.49*(D67^(2/3))*(D62^0.5))/D66,0)</f>
        <v>0</v>
      </c>
      <c r="E68" s="783"/>
      <c r="F68" s="783"/>
      <c r="G68" s="783"/>
      <c r="H68" s="783">
        <f>IF(H64&gt;0,(1.49*(H67^(2/3))*(H62^0.5))/H66,0)</f>
        <v>0</v>
      </c>
      <c r="I68" s="783"/>
      <c r="J68" s="783"/>
      <c r="K68" s="783"/>
      <c r="L68" s="766"/>
    </row>
    <row r="69" spans="1:27" ht="24.95" customHeight="1" x14ac:dyDescent="0.2">
      <c r="B69" s="770" t="s">
        <v>89</v>
      </c>
      <c r="C69" s="780"/>
      <c r="D69" s="783">
        <f>IF(D64&gt;0,D61/(3600*D68),0)</f>
        <v>0</v>
      </c>
      <c r="E69" s="783"/>
      <c r="F69" s="783"/>
      <c r="G69" s="783"/>
      <c r="H69" s="783">
        <f>IF(H64&gt;0,H61/(3600*H68),0)</f>
        <v>0</v>
      </c>
      <c r="I69" s="783"/>
      <c r="J69" s="783"/>
      <c r="K69" s="783"/>
      <c r="L69" s="766"/>
    </row>
    <row r="70" spans="1:27" ht="24.95" customHeight="1" thickBot="1" x14ac:dyDescent="0.25">
      <c r="B70" s="819" t="s">
        <v>125</v>
      </c>
      <c r="C70" s="820"/>
      <c r="D70" s="739">
        <f>D69+D59+D49+D39+D33</f>
        <v>0</v>
      </c>
      <c r="E70" s="739"/>
      <c r="F70" s="739"/>
      <c r="G70" s="739"/>
      <c r="H70" s="739">
        <f>H69+H59+H49+H39+H33</f>
        <v>0</v>
      </c>
      <c r="I70" s="739"/>
      <c r="J70" s="739"/>
      <c r="K70" s="739"/>
      <c r="L70" s="566" t="s">
        <v>176</v>
      </c>
    </row>
    <row r="71" spans="1:27" ht="24.95" customHeight="1" thickTop="1" thickBot="1" x14ac:dyDescent="0.3">
      <c r="B71" s="443" t="s">
        <v>134</v>
      </c>
      <c r="C71" s="445"/>
      <c r="D71" s="762" t="s">
        <v>9</v>
      </c>
      <c r="E71" s="762"/>
      <c r="F71" s="762"/>
      <c r="G71" s="762"/>
      <c r="H71" s="762" t="s">
        <v>30</v>
      </c>
      <c r="I71" s="762"/>
      <c r="J71" s="762"/>
      <c r="K71" s="762"/>
      <c r="L71" s="163"/>
    </row>
    <row r="72" spans="1:27" s="169" customFormat="1" ht="24.95" hidden="1" customHeight="1" thickTop="1" x14ac:dyDescent="0.2">
      <c r="A72" s="216"/>
      <c r="B72" s="826" t="s">
        <v>386</v>
      </c>
      <c r="C72" s="827"/>
      <c r="D72" s="816" t="e">
        <f>C122*0.2</f>
        <v>#DIV/0!</v>
      </c>
      <c r="E72" s="817"/>
      <c r="F72" s="817"/>
      <c r="G72" s="818"/>
      <c r="H72" s="816" t="e">
        <f>C130*0.2</f>
        <v>#DIV/0!</v>
      </c>
      <c r="I72" s="817"/>
      <c r="J72" s="817"/>
      <c r="K72" s="832"/>
      <c r="L72" s="420"/>
      <c r="M72" s="216"/>
      <c r="N72" s="216"/>
      <c r="O72" s="216"/>
      <c r="P72" s="216"/>
      <c r="Q72" s="216"/>
      <c r="R72" s="216"/>
      <c r="S72" s="216"/>
      <c r="T72" s="216"/>
      <c r="U72" s="216"/>
      <c r="V72" s="216"/>
      <c r="W72" s="216"/>
      <c r="X72" s="216"/>
      <c r="Y72" s="216"/>
      <c r="Z72" s="216"/>
      <c r="AA72" s="216"/>
    </row>
    <row r="73" spans="1:27" s="169" customFormat="1" ht="24.95" hidden="1" customHeight="1" x14ac:dyDescent="0.2">
      <c r="A73" s="216"/>
      <c r="B73" s="814" t="s">
        <v>387</v>
      </c>
      <c r="C73" s="815"/>
      <c r="D73" s="812" t="e">
        <f>D72/$D$11</f>
        <v>#DIV/0!</v>
      </c>
      <c r="E73" s="812"/>
      <c r="F73" s="812"/>
      <c r="G73" s="812"/>
      <c r="H73" s="812" t="e">
        <f>H72/$D$11</f>
        <v>#DIV/0!</v>
      </c>
      <c r="I73" s="812"/>
      <c r="J73" s="812"/>
      <c r="K73" s="813"/>
      <c r="L73" s="421"/>
      <c r="M73" s="216"/>
      <c r="N73" s="216"/>
      <c r="O73" s="216"/>
      <c r="P73" s="216"/>
      <c r="Q73" s="216"/>
      <c r="R73" s="216"/>
      <c r="S73" s="216"/>
      <c r="T73" s="216"/>
      <c r="U73" s="216"/>
      <c r="V73" s="216"/>
      <c r="W73" s="216"/>
      <c r="X73" s="216"/>
      <c r="Y73" s="216"/>
      <c r="Z73" s="216"/>
      <c r="AA73" s="216"/>
    </row>
    <row r="74" spans="1:27" ht="24.95" customHeight="1" thickTop="1" thickBot="1" x14ac:dyDescent="0.25">
      <c r="B74" s="828" t="s">
        <v>132</v>
      </c>
      <c r="C74" s="829"/>
      <c r="D74" s="763" t="e">
        <f>$G$109</f>
        <v>#DIV/0!</v>
      </c>
      <c r="E74" s="763"/>
      <c r="F74" s="763"/>
      <c r="G74" s="763"/>
      <c r="H74" s="763" t="e">
        <f>$H$109</f>
        <v>#DIV/0!</v>
      </c>
      <c r="I74" s="763"/>
      <c r="J74" s="763"/>
      <c r="K74" s="763"/>
      <c r="L74" s="566" t="s">
        <v>177</v>
      </c>
    </row>
    <row r="75" spans="1:27" s="142" customFormat="1" ht="24.95" customHeight="1" thickTop="1" thickBot="1" x14ac:dyDescent="0.25">
      <c r="A75" s="141"/>
      <c r="B75" s="750" t="s">
        <v>223</v>
      </c>
      <c r="C75" s="751"/>
      <c r="D75" s="436"/>
      <c r="E75" s="436"/>
      <c r="F75" s="436"/>
      <c r="G75" s="436"/>
      <c r="H75" s="436"/>
      <c r="I75" s="436"/>
      <c r="J75" s="436"/>
      <c r="K75" s="437"/>
      <c r="L75" s="422"/>
      <c r="M75" s="141"/>
      <c r="N75" s="141"/>
      <c r="O75" s="141"/>
      <c r="P75" s="141"/>
      <c r="Q75" s="141"/>
      <c r="R75" s="141"/>
      <c r="S75" s="141"/>
      <c r="T75" s="141"/>
      <c r="U75" s="141"/>
      <c r="V75" s="141"/>
      <c r="W75" s="141"/>
      <c r="X75" s="141"/>
      <c r="Y75" s="141"/>
      <c r="Z75" s="141"/>
      <c r="AA75" s="141"/>
    </row>
    <row r="76" spans="1:27" s="144" customFormat="1" ht="24.95" customHeight="1" thickTop="1" x14ac:dyDescent="0.2">
      <c r="A76" s="143"/>
      <c r="B76" s="740" t="s">
        <v>402</v>
      </c>
      <c r="C76" s="741"/>
      <c r="D76" s="742">
        <f>SUM($H$26:$K$26)</f>
        <v>0</v>
      </c>
      <c r="E76" s="743"/>
      <c r="F76" s="743"/>
      <c r="G76" s="743"/>
      <c r="H76" s="743"/>
      <c r="I76" s="743"/>
      <c r="J76" s="743"/>
      <c r="K76" s="744"/>
      <c r="L76" s="566" t="s">
        <v>222</v>
      </c>
      <c r="M76" s="143"/>
      <c r="N76" s="143"/>
      <c r="O76" s="143"/>
      <c r="P76" s="143"/>
      <c r="Q76" s="143"/>
      <c r="R76" s="143"/>
      <c r="S76" s="143"/>
      <c r="T76" s="143"/>
      <c r="U76" s="143"/>
      <c r="V76" s="143"/>
      <c r="W76" s="143"/>
      <c r="X76" s="143"/>
      <c r="Y76" s="143"/>
      <c r="Z76" s="143"/>
      <c r="AA76" s="143"/>
    </row>
    <row r="77" spans="1:27" s="144" customFormat="1" ht="24.95" customHeight="1" thickBot="1" x14ac:dyDescent="0.25">
      <c r="A77" s="143"/>
      <c r="B77" s="745" t="s">
        <v>403</v>
      </c>
      <c r="C77" s="746"/>
      <c r="D77" s="747" t="e">
        <f>IF(D76&gt;0,$C$188,H74)</f>
        <v>#DIV/0!</v>
      </c>
      <c r="E77" s="748"/>
      <c r="F77" s="748"/>
      <c r="G77" s="748"/>
      <c r="H77" s="748"/>
      <c r="I77" s="748"/>
      <c r="J77" s="748"/>
      <c r="K77" s="749"/>
      <c r="L77" s="423"/>
      <c r="M77" s="143"/>
      <c r="N77" s="143"/>
      <c r="O77" s="143"/>
      <c r="P77" s="143"/>
      <c r="Q77" s="143"/>
      <c r="R77" s="143"/>
      <c r="S77" s="143"/>
      <c r="T77" s="143"/>
      <c r="U77" s="143"/>
      <c r="V77" s="143"/>
      <c r="W77" s="143"/>
      <c r="X77" s="143"/>
      <c r="Y77" s="143"/>
      <c r="Z77" s="143"/>
      <c r="AA77" s="143"/>
    </row>
    <row r="78" spans="1:27" ht="24.95" customHeight="1" thickTop="1" thickBot="1" x14ac:dyDescent="0.25">
      <c r="B78" s="750" t="s">
        <v>385</v>
      </c>
      <c r="C78" s="751"/>
      <c r="D78" s="436"/>
      <c r="E78" s="436"/>
      <c r="F78" s="436"/>
      <c r="G78" s="436"/>
      <c r="H78" s="436"/>
      <c r="I78" s="436"/>
      <c r="J78" s="436"/>
      <c r="K78" s="437"/>
      <c r="L78" s="163"/>
    </row>
    <row r="79" spans="1:27" s="555" customFormat="1" ht="24.95" hidden="1" customHeight="1" thickTop="1" x14ac:dyDescent="0.2">
      <c r="A79" s="554"/>
      <c r="B79" s="764" t="s">
        <v>552</v>
      </c>
      <c r="C79" s="765"/>
      <c r="D79" s="823">
        <f>IF(ISERROR(C170),"",(C170))</f>
        <v>0</v>
      </c>
      <c r="E79" s="824"/>
      <c r="F79" s="824"/>
      <c r="G79" s="824"/>
      <c r="H79" s="824"/>
      <c r="I79" s="824"/>
      <c r="J79" s="824"/>
      <c r="K79" s="825"/>
      <c r="L79" s="553" t="s">
        <v>389</v>
      </c>
      <c r="M79" s="554"/>
      <c r="N79" s="554"/>
      <c r="O79" s="554"/>
      <c r="P79" s="554"/>
      <c r="Q79" s="554"/>
      <c r="R79" s="554"/>
      <c r="S79" s="554"/>
      <c r="T79" s="554"/>
      <c r="U79" s="554"/>
      <c r="V79" s="554"/>
      <c r="W79" s="554"/>
      <c r="X79" s="554"/>
      <c r="Y79" s="554"/>
      <c r="Z79" s="554"/>
      <c r="AA79" s="554"/>
    </row>
    <row r="80" spans="1:27" ht="41.25" customHeight="1" thickTop="1" thickBot="1" x14ac:dyDescent="0.25">
      <c r="B80" s="757" t="s">
        <v>590</v>
      </c>
      <c r="C80" s="758"/>
      <c r="D80" s="759" t="str">
        <f>IF(ISERROR($K$175),"",($K$175))</f>
        <v/>
      </c>
      <c r="E80" s="760"/>
      <c r="F80" s="760"/>
      <c r="G80" s="760"/>
      <c r="H80" s="760"/>
      <c r="I80" s="760"/>
      <c r="J80" s="760"/>
      <c r="K80" s="761"/>
      <c r="L80" s="566" t="s">
        <v>389</v>
      </c>
    </row>
    <row r="81" spans="1:27" ht="24.95" customHeight="1" thickTop="1" thickBot="1" x14ac:dyDescent="0.25">
      <c r="B81" s="750" t="s">
        <v>384</v>
      </c>
      <c r="C81" s="751"/>
      <c r="D81" s="436"/>
      <c r="E81" s="436"/>
      <c r="F81" s="436"/>
      <c r="G81" s="436"/>
      <c r="H81" s="436"/>
      <c r="I81" s="436"/>
      <c r="J81" s="436"/>
      <c r="K81" s="437"/>
      <c r="L81" s="163"/>
    </row>
    <row r="82" spans="1:27" ht="24.95" customHeight="1" thickTop="1" x14ac:dyDescent="0.2">
      <c r="B82" s="754" t="s">
        <v>390</v>
      </c>
      <c r="C82" s="753"/>
      <c r="D82" s="755" t="e">
        <f>IF(D72&gt;'SITE DATA'!$F$26,0,C123)</f>
        <v>#DIV/0!</v>
      </c>
      <c r="E82" s="755"/>
      <c r="F82" s="755"/>
      <c r="G82" s="755"/>
      <c r="H82" s="755" t="e">
        <f>IF(H72&gt;'SITE DATA'!$F$26,0,C131)</f>
        <v>#DIV/0!</v>
      </c>
      <c r="I82" s="755"/>
      <c r="J82" s="755"/>
      <c r="K82" s="755"/>
      <c r="L82" s="566" t="s">
        <v>178</v>
      </c>
    </row>
    <row r="83" spans="1:27" ht="24.95" customHeight="1" x14ac:dyDescent="0.2">
      <c r="B83" s="752" t="s">
        <v>349</v>
      </c>
      <c r="C83" s="753"/>
      <c r="D83" s="756" t="e">
        <f>ROUND(IF(ISERROR((D82/12)*(D10*43560)),"",((D82/12)*(D10*43560))),0)</f>
        <v>#VALUE!</v>
      </c>
      <c r="E83" s="756"/>
      <c r="F83" s="756"/>
      <c r="G83" s="756"/>
      <c r="H83" s="756">
        <f>ROUND(IF(ISERROR((H82/12)*(H10*43560)),0,((H82/12)*(H10*43560))),0)</f>
        <v>0</v>
      </c>
      <c r="I83" s="756"/>
      <c r="J83" s="756"/>
      <c r="K83" s="756"/>
      <c r="L83" s="424"/>
    </row>
    <row r="84" spans="1:27" ht="39" customHeight="1" x14ac:dyDescent="0.2">
      <c r="B84" s="757" t="s">
        <v>559</v>
      </c>
      <c r="C84" s="758"/>
      <c r="D84" s="756" t="str">
        <f>IF(ISERROR(H83-D83),"",(H83-D83))</f>
        <v/>
      </c>
      <c r="E84" s="756"/>
      <c r="F84" s="756"/>
      <c r="G84" s="756"/>
      <c r="H84" s="756"/>
      <c r="I84" s="756"/>
      <c r="J84" s="756"/>
      <c r="K84" s="756"/>
      <c r="L84" s="425"/>
    </row>
    <row r="85" spans="1:27" ht="24.95" customHeight="1" thickBot="1" x14ac:dyDescent="0.25">
      <c r="B85" s="752" t="s">
        <v>350</v>
      </c>
      <c r="C85" s="753"/>
      <c r="D85" s="809" t="e">
        <f>H127</f>
        <v>#DIV/0!</v>
      </c>
      <c r="E85" s="809"/>
      <c r="F85" s="809"/>
      <c r="G85" s="809"/>
      <c r="H85" s="809" t="e">
        <f>H135</f>
        <v>#DIV/0!</v>
      </c>
      <c r="I85" s="809"/>
      <c r="J85" s="809"/>
      <c r="K85" s="809"/>
      <c r="L85" s="426" t="s">
        <v>159</v>
      </c>
    </row>
    <row r="86" spans="1:27" ht="24.95" customHeight="1" thickTop="1" thickBot="1" x14ac:dyDescent="0.25">
      <c r="B86" s="750" t="s">
        <v>374</v>
      </c>
      <c r="C86" s="751"/>
      <c r="D86" s="436"/>
      <c r="E86" s="436"/>
      <c r="F86" s="436"/>
      <c r="G86" s="436"/>
      <c r="H86" s="436"/>
      <c r="I86" s="436"/>
      <c r="J86" s="436"/>
      <c r="K86" s="437"/>
      <c r="L86" s="426"/>
    </row>
    <row r="87" spans="1:27" ht="24.95" customHeight="1" thickTop="1" x14ac:dyDescent="0.2">
      <c r="B87" s="754" t="s">
        <v>391</v>
      </c>
      <c r="C87" s="753"/>
      <c r="D87" s="755" t="e">
        <f>IF($D$72&gt;'SITE DATA'!$F$27,0,C124)</f>
        <v>#DIV/0!</v>
      </c>
      <c r="E87" s="755"/>
      <c r="F87" s="755"/>
      <c r="G87" s="755"/>
      <c r="H87" s="755" t="e">
        <f>IF($H$72&gt;'SITE DATA'!$F$27,0,C132)</f>
        <v>#DIV/0!</v>
      </c>
      <c r="I87" s="755"/>
      <c r="J87" s="755"/>
      <c r="K87" s="755"/>
      <c r="L87" s="566" t="s">
        <v>178</v>
      </c>
    </row>
    <row r="88" spans="1:27" ht="24.95" customHeight="1" x14ac:dyDescent="0.2">
      <c r="B88" s="752" t="s">
        <v>349</v>
      </c>
      <c r="C88" s="753"/>
      <c r="D88" s="756" t="e">
        <f>(D87/12)*($D$10*43560)</f>
        <v>#DIV/0!</v>
      </c>
      <c r="E88" s="756"/>
      <c r="F88" s="756"/>
      <c r="G88" s="756"/>
      <c r="H88" s="756" t="e">
        <f>(H87/12)*(H10*43560)</f>
        <v>#DIV/0!</v>
      </c>
      <c r="I88" s="756"/>
      <c r="J88" s="756"/>
      <c r="K88" s="756"/>
      <c r="L88" s="426"/>
    </row>
    <row r="89" spans="1:27" ht="24.95" customHeight="1" thickBot="1" x14ac:dyDescent="0.25">
      <c r="B89" s="752" t="s">
        <v>351</v>
      </c>
      <c r="C89" s="753"/>
      <c r="D89" s="809" t="e">
        <f>H128</f>
        <v>#DIV/0!</v>
      </c>
      <c r="E89" s="809"/>
      <c r="F89" s="809"/>
      <c r="G89" s="809"/>
      <c r="H89" s="809" t="e">
        <f>H136</f>
        <v>#DIV/0!</v>
      </c>
      <c r="I89" s="809"/>
      <c r="J89" s="809"/>
      <c r="K89" s="809"/>
      <c r="L89" s="426" t="s">
        <v>159</v>
      </c>
    </row>
    <row r="90" spans="1:27" ht="24.95" customHeight="1" thickTop="1" thickBot="1" x14ac:dyDescent="0.25">
      <c r="B90" s="750" t="s">
        <v>376</v>
      </c>
      <c r="C90" s="751"/>
      <c r="D90" s="436"/>
      <c r="E90" s="436"/>
      <c r="F90" s="436"/>
      <c r="G90" s="436"/>
      <c r="H90" s="436"/>
      <c r="I90" s="436"/>
      <c r="J90" s="436"/>
      <c r="K90" s="437"/>
      <c r="L90" s="426"/>
    </row>
    <row r="91" spans="1:27" ht="24.95" customHeight="1" thickTop="1" x14ac:dyDescent="0.2">
      <c r="B91" s="754" t="s">
        <v>392</v>
      </c>
      <c r="C91" s="753"/>
      <c r="D91" s="755" t="e">
        <f>IF($D$72&gt;'SITE DATA'!F28,0,C125)</f>
        <v>#DIV/0!</v>
      </c>
      <c r="E91" s="755"/>
      <c r="F91" s="755"/>
      <c r="G91" s="755"/>
      <c r="H91" s="755" t="e">
        <f>IF($H$72&gt;'SITE DATA'!F28,0,C133)</f>
        <v>#DIV/0!</v>
      </c>
      <c r="I91" s="755"/>
      <c r="J91" s="755"/>
      <c r="K91" s="755"/>
      <c r="L91" s="566" t="s">
        <v>178</v>
      </c>
    </row>
    <row r="92" spans="1:27" ht="24.95" customHeight="1" x14ac:dyDescent="0.2">
      <c r="B92" s="752" t="s">
        <v>349</v>
      </c>
      <c r="C92" s="753"/>
      <c r="D92" s="756" t="e">
        <f>(D91/12)*($D$10*43560)</f>
        <v>#DIV/0!</v>
      </c>
      <c r="E92" s="756"/>
      <c r="F92" s="756"/>
      <c r="G92" s="756"/>
      <c r="H92" s="756" t="e">
        <f>(H91/12)*($D$10*43560)</f>
        <v>#DIV/0!</v>
      </c>
      <c r="I92" s="756"/>
      <c r="J92" s="756"/>
      <c r="K92" s="756"/>
      <c r="L92" s="426"/>
    </row>
    <row r="93" spans="1:27" ht="24.95" customHeight="1" thickBot="1" x14ac:dyDescent="0.25">
      <c r="B93" s="810" t="s">
        <v>352</v>
      </c>
      <c r="C93" s="811"/>
      <c r="D93" s="808" t="e">
        <f>H129</f>
        <v>#DIV/0!</v>
      </c>
      <c r="E93" s="808"/>
      <c r="F93" s="808"/>
      <c r="G93" s="808"/>
      <c r="H93" s="808" t="e">
        <f>H137</f>
        <v>#DIV/0!</v>
      </c>
      <c r="I93" s="808"/>
      <c r="J93" s="808"/>
      <c r="K93" s="808"/>
      <c r="L93" s="426"/>
    </row>
    <row r="94" spans="1:27" s="507" customFormat="1" ht="24.95" hidden="1" customHeight="1" thickTop="1" x14ac:dyDescent="0.2">
      <c r="B94" s="165"/>
      <c r="C94" s="165"/>
      <c r="D94" s="807" t="e">
        <f>IF($H$93&gt;$D$93,"Post-development peak flow exceeds pre-development peak flow for this DA!","")</f>
        <v>#DIV/0!</v>
      </c>
      <c r="E94" s="807"/>
      <c r="F94" s="807"/>
      <c r="G94" s="807"/>
      <c r="H94" s="807"/>
      <c r="I94" s="807"/>
      <c r="J94" s="807"/>
      <c r="K94" s="807"/>
    </row>
    <row r="95" spans="1:27" s="507" customFormat="1" ht="15" hidden="1" customHeight="1" x14ac:dyDescent="0.2">
      <c r="B95" s="155"/>
      <c r="C95" s="165"/>
      <c r="D95" s="167"/>
      <c r="E95" s="167"/>
      <c r="F95" s="167"/>
      <c r="G95" s="167"/>
      <c r="H95" s="167"/>
      <c r="I95" s="167"/>
      <c r="J95" s="167"/>
      <c r="K95" s="167"/>
      <c r="L95" s="168"/>
    </row>
    <row r="96" spans="1:27" s="169" customFormat="1" ht="15.75" hidden="1" customHeight="1" x14ac:dyDescent="0.25">
      <c r="A96" s="216"/>
      <c r="B96" s="806" t="s">
        <v>126</v>
      </c>
      <c r="C96" s="806"/>
      <c r="D96" s="806"/>
      <c r="E96" s="806"/>
      <c r="F96" s="806"/>
      <c r="G96" s="806"/>
      <c r="H96" s="806"/>
      <c r="I96" s="806"/>
      <c r="J96" s="806"/>
      <c r="K96" s="806"/>
      <c r="L96" s="806"/>
      <c r="M96" s="216"/>
      <c r="N96" s="216"/>
      <c r="O96" s="216"/>
      <c r="P96" s="216"/>
      <c r="Q96" s="216"/>
      <c r="R96" s="216"/>
      <c r="S96" s="216"/>
      <c r="T96" s="216"/>
      <c r="U96" s="216"/>
      <c r="V96" s="216"/>
      <c r="W96" s="216"/>
      <c r="X96" s="216"/>
      <c r="Y96" s="216"/>
      <c r="Z96" s="216"/>
      <c r="AA96" s="216"/>
    </row>
    <row r="97" spans="2:14" s="507" customFormat="1" ht="15" hidden="1" customHeight="1" x14ac:dyDescent="0.2">
      <c r="K97" s="167"/>
      <c r="L97" s="168"/>
    </row>
    <row r="98" spans="2:14" ht="18.75" hidden="1" customHeight="1" thickBot="1" x14ac:dyDescent="0.25">
      <c r="B98" s="855" t="s">
        <v>133</v>
      </c>
      <c r="C98" s="856"/>
      <c r="D98" s="856"/>
      <c r="E98" s="856"/>
      <c r="F98" s="856"/>
      <c r="G98" s="856"/>
      <c r="H98" s="856"/>
      <c r="I98" s="856"/>
      <c r="J98" s="170"/>
      <c r="K98" s="507"/>
      <c r="L98" s="507"/>
    </row>
    <row r="99" spans="2:14" ht="60" hidden="1" customHeight="1" x14ac:dyDescent="0.2">
      <c r="B99" s="171" t="s">
        <v>14</v>
      </c>
      <c r="C99" s="172" t="s">
        <v>15</v>
      </c>
      <c r="D99" s="172" t="s">
        <v>16</v>
      </c>
      <c r="E99" s="172" t="s">
        <v>18</v>
      </c>
      <c r="F99" s="172" t="s">
        <v>17</v>
      </c>
      <c r="G99" s="224" t="s">
        <v>289</v>
      </c>
      <c r="H99" s="225" t="s">
        <v>290</v>
      </c>
      <c r="I99" s="250" t="s">
        <v>377</v>
      </c>
      <c r="J99" s="249"/>
      <c r="K99" s="508"/>
      <c r="L99" s="507"/>
    </row>
    <row r="100" spans="2:14" ht="15" hidden="1" customHeight="1" x14ac:dyDescent="0.2">
      <c r="B100" s="173" t="s">
        <v>12</v>
      </c>
      <c r="C100" s="568">
        <v>39</v>
      </c>
      <c r="D100" s="568">
        <v>61</v>
      </c>
      <c r="E100" s="568">
        <v>74</v>
      </c>
      <c r="F100" s="568">
        <v>80</v>
      </c>
      <c r="G100" s="567">
        <f t="shared" ref="G100:G107" si="0">(C100*D17)+(D100*E17)+(E100*F17)+(F100*G17)</f>
        <v>0</v>
      </c>
      <c r="H100" s="569">
        <f>($C$100*$H$17)+($D$100*$I$17)+($E$100*$J$17)+($F$100*$K$17)</f>
        <v>0</v>
      </c>
      <c r="I100" s="251">
        <f>($C$100*$H$17)+($D$100*$I$17)+($E$100*$J$17)+($F$100*$K$17)</f>
        <v>0</v>
      </c>
      <c r="J100" s="508"/>
      <c r="K100" s="508"/>
      <c r="L100" s="507"/>
    </row>
    <row r="101" spans="2:14" ht="18" hidden="1" customHeight="1" x14ac:dyDescent="0.2">
      <c r="B101" s="173" t="s">
        <v>233</v>
      </c>
      <c r="C101" s="568">
        <v>45</v>
      </c>
      <c r="D101" s="568">
        <v>66</v>
      </c>
      <c r="E101" s="568">
        <v>77</v>
      </c>
      <c r="F101" s="568">
        <v>83</v>
      </c>
      <c r="G101" s="567">
        <f t="shared" si="0"/>
        <v>0</v>
      </c>
      <c r="H101" s="569">
        <f>($C$101*$H$18)+($D$101*$I$18)+($E$101*$J$18)+($F$101*$K$18)</f>
        <v>0</v>
      </c>
      <c r="I101" s="251">
        <f>($C$101*$H$18)+($D$101*$I$18)+($E$101*$J$18)+($F$101*$K$18)</f>
        <v>0</v>
      </c>
      <c r="J101" s="508"/>
      <c r="K101" s="508"/>
      <c r="L101" s="507"/>
    </row>
    <row r="102" spans="2:14" ht="18" hidden="1" customHeight="1" x14ac:dyDescent="0.2">
      <c r="B102" s="173" t="s">
        <v>235</v>
      </c>
      <c r="C102" s="568">
        <v>36</v>
      </c>
      <c r="D102" s="568">
        <v>60</v>
      </c>
      <c r="E102" s="568">
        <v>73</v>
      </c>
      <c r="F102" s="568">
        <v>79</v>
      </c>
      <c r="G102" s="567">
        <f t="shared" si="0"/>
        <v>0</v>
      </c>
      <c r="H102" s="569">
        <f>($C$102*$H$19)+($D$102*$I$19)+($E$102*$J$19)+($F$102*$K$19)</f>
        <v>0</v>
      </c>
      <c r="I102" s="251">
        <f>($C$102*$H$19)+($D$102*$I$19)+($E$102*$J$19)+($F$102*$K$19)</f>
        <v>0</v>
      </c>
      <c r="J102" s="508"/>
      <c r="K102" s="508"/>
      <c r="L102" s="507"/>
    </row>
    <row r="103" spans="2:14" ht="18" hidden="1" customHeight="1" x14ac:dyDescent="0.2">
      <c r="B103" s="173" t="s">
        <v>236</v>
      </c>
      <c r="C103" s="568">
        <v>30</v>
      </c>
      <c r="D103" s="568">
        <v>55</v>
      </c>
      <c r="E103" s="568">
        <v>70</v>
      </c>
      <c r="F103" s="568">
        <v>77</v>
      </c>
      <c r="G103" s="567">
        <f t="shared" si="0"/>
        <v>0</v>
      </c>
      <c r="H103" s="569">
        <f>($C$103*$H$20)+($D$103*$I$20)+($E$103*$J$20)+($F$103*$K$20)</f>
        <v>0</v>
      </c>
      <c r="I103" s="251">
        <f>($C$103*$H$20)+($D$103*$I$20)+($E$103*$J$20)+($F$103*$K$20)</f>
        <v>0</v>
      </c>
      <c r="J103" s="508"/>
      <c r="K103" s="508"/>
      <c r="L103" s="507"/>
    </row>
    <row r="104" spans="2:14" ht="18" hidden="1" customHeight="1" x14ac:dyDescent="0.2">
      <c r="B104" s="173" t="s">
        <v>234</v>
      </c>
      <c r="C104" s="568">
        <v>68</v>
      </c>
      <c r="D104" s="568">
        <v>79</v>
      </c>
      <c r="E104" s="568">
        <v>86</v>
      </c>
      <c r="F104" s="568">
        <v>89</v>
      </c>
      <c r="G104" s="567">
        <f t="shared" si="0"/>
        <v>0</v>
      </c>
      <c r="H104" s="569">
        <f>($C$104*$H$21)+($D$104*$I$21)+($E$104*$J$21)+($F$104*$K$21)</f>
        <v>0</v>
      </c>
      <c r="I104" s="251">
        <f>($C$104*$H$21)+($D$104*$I$21)+($E$104*$J$21)+($F$104*$K$21)</f>
        <v>0</v>
      </c>
      <c r="J104" s="508"/>
      <c r="K104" s="508"/>
      <c r="L104" s="507"/>
    </row>
    <row r="105" spans="2:14" ht="18" hidden="1" customHeight="1" x14ac:dyDescent="0.2">
      <c r="B105" s="173" t="s">
        <v>237</v>
      </c>
      <c r="C105" s="568">
        <v>49</v>
      </c>
      <c r="D105" s="568">
        <v>69</v>
      </c>
      <c r="E105" s="568">
        <v>79</v>
      </c>
      <c r="F105" s="568">
        <v>84</v>
      </c>
      <c r="G105" s="567">
        <f t="shared" si="0"/>
        <v>0</v>
      </c>
      <c r="H105" s="569">
        <f>($C$105*$H$22)+($D$105*$I$22)+($E$105*$J$22)+($F$105*$K$22)</f>
        <v>0</v>
      </c>
      <c r="I105" s="251">
        <f>($C$105*$H$22)+($D$105*$I$22)+($E$105*$J$22)+($F$105*$K$22)</f>
        <v>0</v>
      </c>
      <c r="J105" s="508"/>
      <c r="K105" s="508"/>
      <c r="L105" s="507"/>
    </row>
    <row r="106" spans="2:14" ht="18" hidden="1" customHeight="1" x14ac:dyDescent="0.2">
      <c r="B106" s="173" t="s">
        <v>238</v>
      </c>
      <c r="C106" s="568">
        <v>39</v>
      </c>
      <c r="D106" s="568">
        <v>61</v>
      </c>
      <c r="E106" s="568">
        <v>74</v>
      </c>
      <c r="F106" s="568">
        <v>80</v>
      </c>
      <c r="G106" s="567">
        <f t="shared" si="0"/>
        <v>0</v>
      </c>
      <c r="H106" s="569">
        <f>($C$106*$H$23)+($D$106*$I$23)+($E$106*$J$23)+($F$106*$K$23)</f>
        <v>0</v>
      </c>
      <c r="I106" s="251">
        <f>($C$106*$H$23)+($D$106*$I$23)+($E$106*$J$23)+($F$106*$K$23)</f>
        <v>0</v>
      </c>
      <c r="J106" s="508"/>
      <c r="K106" s="508"/>
      <c r="L106" s="507"/>
    </row>
    <row r="107" spans="2:14" ht="15" hidden="1" customHeight="1" x14ac:dyDescent="0.2">
      <c r="B107" s="173" t="s">
        <v>245</v>
      </c>
      <c r="C107" s="568">
        <v>30</v>
      </c>
      <c r="D107" s="568">
        <v>55</v>
      </c>
      <c r="E107" s="568">
        <v>70</v>
      </c>
      <c r="F107" s="568">
        <v>77</v>
      </c>
      <c r="G107" s="567">
        <f t="shared" si="0"/>
        <v>0</v>
      </c>
      <c r="H107" s="569">
        <f>($C$107*$H$24)+($D$107*$I$24)+($E$107*$J$24)+($F$107*$K$24)</f>
        <v>0</v>
      </c>
      <c r="I107" s="251">
        <f>($C$107*$H$24)+($D$107*$I$24)+($E$107*$J$24)+($F$107*$K$24)</f>
        <v>0</v>
      </c>
      <c r="J107" s="508"/>
      <c r="K107" s="508"/>
      <c r="L107" s="507"/>
    </row>
    <row r="108" spans="2:14" ht="18.75" hidden="1" customHeight="1" thickBot="1" x14ac:dyDescent="0.25">
      <c r="B108" s="175" t="s">
        <v>243</v>
      </c>
      <c r="C108" s="176">
        <v>98</v>
      </c>
      <c r="D108" s="176">
        <v>98</v>
      </c>
      <c r="E108" s="177">
        <v>98</v>
      </c>
      <c r="F108" s="177">
        <v>98</v>
      </c>
      <c r="G108" s="228">
        <f>(C108*(D26+D25))+(D108*(E26+E25))+(E108*(F26+F25))+(F108*(G26+G25))</f>
        <v>0</v>
      </c>
      <c r="H108" s="229">
        <f>($C$108*(H25+H26))+($D$108*(I25+I26))+($E$108*(J25+J26))+($F$108*(K25+K26))</f>
        <v>0</v>
      </c>
      <c r="I108" s="252">
        <f>($C$108*H26)+($D$108*I26)+($E$108*J26)+($F$108*K26)</f>
        <v>0</v>
      </c>
      <c r="J108" s="508" t="s">
        <v>370</v>
      </c>
      <c r="K108" s="508"/>
      <c r="L108" s="507"/>
    </row>
    <row r="109" spans="2:14" ht="15.75" hidden="1" customHeight="1" thickBot="1" x14ac:dyDescent="0.25">
      <c r="B109" s="178"/>
      <c r="C109" s="146"/>
      <c r="D109" s="146"/>
      <c r="E109" s="869" t="s">
        <v>265</v>
      </c>
      <c r="F109" s="870"/>
      <c r="G109" s="414" t="e">
        <f>ROUND((SUM(G100:G108)/SUM(D17:G26)),2)</f>
        <v>#DIV/0!</v>
      </c>
      <c r="H109" s="414" t="e">
        <f>ROUND((SUM(H100:H108)/SUM(H17:K26)),2)</f>
        <v>#DIV/0!</v>
      </c>
      <c r="I109" s="415" t="e">
        <f>ROUND(SUM(I100:I108)/(SUM(H17:K26)-SUM(H25:K25)),2)</f>
        <v>#DIV/0!</v>
      </c>
      <c r="J109" s="508"/>
      <c r="K109" s="508"/>
      <c r="L109" s="507"/>
    </row>
    <row r="110" spans="2:14" ht="15" hidden="1" customHeight="1" x14ac:dyDescent="0.2">
      <c r="B110" s="509"/>
      <c r="C110" s="506"/>
      <c r="D110" s="506"/>
      <c r="E110" s="159"/>
      <c r="F110" s="159"/>
      <c r="G110" s="159"/>
      <c r="H110" s="506"/>
      <c r="I110" s="506"/>
      <c r="J110" s="507"/>
      <c r="K110" s="167"/>
      <c r="L110" s="168"/>
    </row>
    <row r="111" spans="2:14" ht="15.75" hidden="1" customHeight="1" thickBot="1" x14ac:dyDescent="0.25">
      <c r="B111" s="507"/>
      <c r="C111" s="507"/>
      <c r="D111" s="506"/>
      <c r="E111" s="507"/>
      <c r="F111" s="507"/>
      <c r="G111" s="507"/>
      <c r="H111" s="507"/>
      <c r="I111" s="507"/>
      <c r="J111" s="507"/>
      <c r="K111" s="507"/>
    </row>
    <row r="112" spans="2:14" ht="18.75" hidden="1" customHeight="1" thickBot="1" x14ac:dyDescent="0.3">
      <c r="B112" s="836" t="s">
        <v>383</v>
      </c>
      <c r="C112" s="837"/>
      <c r="D112" s="506"/>
      <c r="E112" s="849" t="s">
        <v>55</v>
      </c>
      <c r="F112" s="850"/>
      <c r="G112" s="850"/>
      <c r="H112" s="850"/>
      <c r="I112" s="850"/>
      <c r="J112" s="850"/>
      <c r="K112" s="850"/>
      <c r="L112" s="850"/>
      <c r="M112" s="850"/>
      <c r="N112" s="851"/>
    </row>
    <row r="113" spans="2:14" ht="15" hidden="1" customHeight="1" x14ac:dyDescent="0.2">
      <c r="B113" s="838"/>
      <c r="C113" s="839"/>
      <c r="D113" s="506"/>
      <c r="E113" s="865" t="s">
        <v>32</v>
      </c>
      <c r="F113" s="866"/>
      <c r="G113" s="866"/>
      <c r="H113" s="866"/>
      <c r="I113" s="866"/>
      <c r="J113" s="866"/>
      <c r="K113" s="866"/>
      <c r="L113" s="866"/>
      <c r="M113" s="866"/>
      <c r="N113" s="867"/>
    </row>
    <row r="114" spans="2:14" ht="18" hidden="1" customHeight="1" x14ac:dyDescent="0.2">
      <c r="B114" s="64"/>
      <c r="C114" s="113"/>
      <c r="D114" s="506"/>
      <c r="E114" s="265"/>
      <c r="F114" s="159"/>
      <c r="G114" s="266"/>
      <c r="H114" s="266"/>
      <c r="I114" s="266"/>
      <c r="J114" s="266"/>
      <c r="K114" s="510"/>
      <c r="L114" s="181"/>
      <c r="M114" s="506"/>
      <c r="N114" s="513"/>
    </row>
    <row r="115" spans="2:14" ht="20.25" hidden="1" customHeight="1" x14ac:dyDescent="0.35">
      <c r="B115" s="863" t="s">
        <v>40</v>
      </c>
      <c r="C115" s="864"/>
      <c r="D115" s="506"/>
      <c r="E115" s="265"/>
      <c r="F115" s="266"/>
      <c r="G115" s="267" t="s">
        <v>149</v>
      </c>
      <c r="H115" s="267"/>
      <c r="I115" s="268"/>
      <c r="J115" s="506" t="s">
        <v>138</v>
      </c>
      <c r="K115" s="510"/>
      <c r="L115" s="181"/>
      <c r="M115" s="506"/>
      <c r="N115" s="513"/>
    </row>
    <row r="116" spans="2:14" ht="60" hidden="1" customHeight="1" x14ac:dyDescent="0.2">
      <c r="B116" s="863" t="s">
        <v>22</v>
      </c>
      <c r="C116" s="864"/>
      <c r="D116" s="182" t="s">
        <v>304</v>
      </c>
      <c r="E116" s="265"/>
      <c r="F116" s="266"/>
      <c r="G116" s="267" t="s">
        <v>33</v>
      </c>
      <c r="H116" s="267"/>
      <c r="I116" s="267"/>
      <c r="J116" s="510"/>
      <c r="K116" s="267" t="s">
        <v>33</v>
      </c>
      <c r="L116" s="181"/>
      <c r="M116" s="506"/>
      <c r="N116" s="513"/>
    </row>
    <row r="117" spans="2:14" ht="19.5" hidden="1" customHeight="1" x14ac:dyDescent="0.35">
      <c r="B117" s="183" t="s">
        <v>45</v>
      </c>
      <c r="C117" s="184"/>
      <c r="D117" s="506"/>
      <c r="E117" s="265"/>
      <c r="F117" s="266"/>
      <c r="G117" s="267" t="s">
        <v>128</v>
      </c>
      <c r="H117" s="267"/>
      <c r="I117" s="267"/>
      <c r="J117" s="266"/>
      <c r="K117" s="506" t="s">
        <v>139</v>
      </c>
      <c r="L117" s="181"/>
      <c r="M117" s="506"/>
      <c r="N117" s="513"/>
    </row>
    <row r="118" spans="2:14" ht="19.5" hidden="1" customHeight="1" x14ac:dyDescent="0.35">
      <c r="B118" s="183" t="s">
        <v>41</v>
      </c>
      <c r="C118" s="114"/>
      <c r="D118" s="506"/>
      <c r="E118" s="265"/>
      <c r="F118" s="181"/>
      <c r="G118" s="267" t="s">
        <v>158</v>
      </c>
      <c r="H118" s="268"/>
      <c r="I118" s="268"/>
      <c r="J118" s="268"/>
      <c r="K118" s="506" t="s">
        <v>140</v>
      </c>
      <c r="L118" s="181"/>
      <c r="M118" s="506"/>
      <c r="N118" s="513"/>
    </row>
    <row r="119" spans="2:14" ht="20.25" hidden="1" customHeight="1" x14ac:dyDescent="0.35">
      <c r="B119" s="185"/>
      <c r="C119" s="184"/>
      <c r="D119" s="506"/>
      <c r="E119" s="265"/>
      <c r="F119" s="266"/>
      <c r="G119" s="267" t="s">
        <v>130</v>
      </c>
      <c r="H119" s="267"/>
      <c r="I119" s="267"/>
      <c r="J119" s="266"/>
      <c r="K119" s="510"/>
      <c r="L119" s="269"/>
      <c r="M119" s="506"/>
      <c r="N119" s="513"/>
    </row>
    <row r="120" spans="2:14" ht="15" hidden="1" customHeight="1" x14ac:dyDescent="0.2">
      <c r="B120" s="186" t="s">
        <v>48</v>
      </c>
      <c r="C120" s="184"/>
      <c r="D120" s="506"/>
      <c r="E120" s="265"/>
      <c r="F120" s="266"/>
      <c r="G120" s="267" t="s">
        <v>34</v>
      </c>
      <c r="H120" s="267"/>
      <c r="I120" s="267"/>
      <c r="J120" s="266"/>
      <c r="K120" s="510"/>
      <c r="L120" s="269"/>
      <c r="M120" s="506"/>
      <c r="N120" s="513"/>
    </row>
    <row r="121" spans="2:14" ht="19.5" hidden="1" customHeight="1" x14ac:dyDescent="0.35">
      <c r="B121" s="51" t="s">
        <v>20</v>
      </c>
      <c r="C121" s="187" t="s">
        <v>42</v>
      </c>
      <c r="D121" s="506"/>
      <c r="E121" s="265"/>
      <c r="F121" s="159"/>
      <c r="G121" s="267" t="s">
        <v>150</v>
      </c>
      <c r="H121" s="506"/>
      <c r="I121" s="506"/>
      <c r="J121" s="270"/>
      <c r="K121" s="506"/>
      <c r="L121" s="271"/>
      <c r="M121" s="506"/>
      <c r="N121" s="513"/>
    </row>
    <row r="122" spans="2:14" ht="15.75" hidden="1" customHeight="1" x14ac:dyDescent="0.2">
      <c r="B122" s="51" t="s">
        <v>20</v>
      </c>
      <c r="C122" s="115" t="e">
        <f>(1000/$G$109)-10</f>
        <v>#DIV/0!</v>
      </c>
      <c r="D122" s="506"/>
      <c r="E122" s="860" t="s">
        <v>35</v>
      </c>
      <c r="F122" s="861"/>
      <c r="G122" s="861"/>
      <c r="H122" s="861"/>
      <c r="I122" s="861"/>
      <c r="J122" s="861"/>
      <c r="K122" s="861"/>
      <c r="L122" s="861"/>
      <c r="M122" s="861"/>
      <c r="N122" s="862"/>
    </row>
    <row r="123" spans="2:14" ht="19.5" hidden="1" customHeight="1" x14ac:dyDescent="0.25">
      <c r="B123" s="188" t="s">
        <v>330</v>
      </c>
      <c r="C123" s="76" t="e">
        <f>(($D$11-(0.2*$C$122))^2)/($D$11+(0.8*$C$122))</f>
        <v>#DIV/0!</v>
      </c>
      <c r="D123" s="506"/>
      <c r="E123" s="265"/>
      <c r="F123" s="272"/>
      <c r="G123" s="269" t="s">
        <v>61</v>
      </c>
      <c r="H123" s="273" t="e">
        <f>N125</f>
        <v>#DIV/0!</v>
      </c>
      <c r="I123" s="269" t="s">
        <v>36</v>
      </c>
      <c r="J123" s="506"/>
      <c r="K123" s="511" t="s">
        <v>141</v>
      </c>
      <c r="L123" s="190" t="e">
        <f>IF(D73&gt;0.475,$J$147,IF(D73&gt;0.425,$J$146,IF(D73&gt;0.375,$J$145,IF(D73&gt;0.325,$J$144,IF(D73&gt;0.2,$J$143,$J$142)))))</f>
        <v>#DIV/0!</v>
      </c>
      <c r="M123" s="191"/>
      <c r="N123" s="232"/>
    </row>
    <row r="124" spans="2:14" ht="19.5" hidden="1" customHeight="1" x14ac:dyDescent="0.35">
      <c r="B124" s="188" t="s">
        <v>331</v>
      </c>
      <c r="C124" s="76" t="e">
        <f>(($D$12-(0.2*$C$122))^2)/($D$12+(0.8*$C$122))</f>
        <v>#DIV/0!</v>
      </c>
      <c r="D124" s="506"/>
      <c r="E124" s="274"/>
      <c r="F124" s="272"/>
      <c r="G124" s="269" t="s">
        <v>62</v>
      </c>
      <c r="H124" s="275">
        <f>(D9/640)</f>
        <v>0</v>
      </c>
      <c r="I124" s="269" t="s">
        <v>63</v>
      </c>
      <c r="J124" s="506"/>
      <c r="K124" s="511" t="s">
        <v>142</v>
      </c>
      <c r="L124" s="192" t="e">
        <f>IF(L123=J142,K142,IF(L123=J143,K143,IF(L123=J144,K144,IF(L123=J145,K145,IF(L123=J146,K146,IF(L123=J147,K147,""))))))</f>
        <v>#DIV/0!</v>
      </c>
      <c r="M124" s="165" t="s">
        <v>145</v>
      </c>
      <c r="N124" s="513" t="e">
        <f>L124+(L125*LOG(N126))+(L126*((LOG(N126))^2))</f>
        <v>#DIV/0!</v>
      </c>
    </row>
    <row r="125" spans="2:14" ht="19.5" hidden="1" customHeight="1" x14ac:dyDescent="0.35">
      <c r="B125" s="188" t="s">
        <v>332</v>
      </c>
      <c r="C125" s="76" t="e">
        <f>(($D$13-(0.2*$C$122))^2)/($D$13+(0.8*$C$122))</f>
        <v>#DIV/0!</v>
      </c>
      <c r="D125" s="506"/>
      <c r="E125" s="276" t="s">
        <v>151</v>
      </c>
      <c r="F125" s="277" t="e">
        <f>($D$15/$D$9)*100</f>
        <v>#DIV/0!</v>
      </c>
      <c r="G125" s="278" t="s">
        <v>169</v>
      </c>
      <c r="H125" s="273" t="e">
        <f>IF($F$125&gt;4.44,$N$157,IF($F$125&gt;2.44,$N$156,IF($F$125&gt;0.45,$N$155,IF($F$125&gt;0.144,$N$154,1))))</f>
        <v>#DIV/0!</v>
      </c>
      <c r="I125" s="269"/>
      <c r="J125" s="506"/>
      <c r="K125" s="511" t="s">
        <v>143</v>
      </c>
      <c r="L125" s="192" t="e">
        <f>IF($L$123=J142,L142,IF($L$123=J143,L143,IF($L$123=J144,L144,IF($L$123=J145,L145,IF($L$123=J146,L146,IF($L$123=J147,L147,""))))))</f>
        <v>#DIV/0!</v>
      </c>
      <c r="M125" s="165" t="s">
        <v>146</v>
      </c>
      <c r="N125" s="513" t="e">
        <f>10^N124</f>
        <v>#DIV/0!</v>
      </c>
    </row>
    <row r="126" spans="2:14" ht="19.5" hidden="1" customHeight="1" x14ac:dyDescent="0.35">
      <c r="B126" s="186" t="s">
        <v>49</v>
      </c>
      <c r="C126" s="184"/>
      <c r="D126" s="506"/>
      <c r="E126" s="233"/>
      <c r="F126" s="234"/>
      <c r="G126" s="234"/>
      <c r="H126" s="234"/>
      <c r="I126" s="234"/>
      <c r="J126" s="506"/>
      <c r="K126" s="511" t="s">
        <v>144</v>
      </c>
      <c r="L126" s="192" t="e">
        <f>IF($L$123=J142,M142,IF($L$123=J143,M143,IF($L$123=J144,M144,IF($L$123=J145,M145,IF($L$123=J146,M146,IF($L$123=J147,M147,""))))))</f>
        <v>#DIV/0!</v>
      </c>
      <c r="M126" s="165" t="s">
        <v>72</v>
      </c>
      <c r="N126" s="235">
        <f>D70</f>
        <v>0</v>
      </c>
    </row>
    <row r="127" spans="2:14" ht="18.75" hidden="1" customHeight="1" x14ac:dyDescent="0.2">
      <c r="B127" s="186"/>
      <c r="C127" s="184"/>
      <c r="D127" s="506"/>
      <c r="E127" s="276"/>
      <c r="F127" s="277"/>
      <c r="G127" s="279" t="s">
        <v>37</v>
      </c>
      <c r="H127" s="280" t="e">
        <f>$H$124*C123*$H$125*$H$123</f>
        <v>#DIV/0!</v>
      </c>
      <c r="I127" s="279" t="s">
        <v>38</v>
      </c>
      <c r="J127" s="506"/>
      <c r="K127" s="511"/>
      <c r="L127" s="192"/>
      <c r="M127" s="165"/>
      <c r="N127" s="235"/>
    </row>
    <row r="128" spans="2:14" ht="18.75" hidden="1" customHeight="1" x14ac:dyDescent="0.2">
      <c r="B128" s="186"/>
      <c r="C128" s="184"/>
      <c r="D128" s="506"/>
      <c r="E128" s="276"/>
      <c r="F128" s="277"/>
      <c r="G128" s="279" t="s">
        <v>327</v>
      </c>
      <c r="H128" s="280" t="e">
        <f>$H$124*C124*$H$125*$H$123</f>
        <v>#DIV/0!</v>
      </c>
      <c r="I128" s="279" t="s">
        <v>38</v>
      </c>
      <c r="J128" s="506"/>
      <c r="K128" s="511"/>
      <c r="L128" s="192"/>
      <c r="M128" s="165"/>
      <c r="N128" s="235"/>
    </row>
    <row r="129" spans="2:14" ht="18.75" hidden="1" customHeight="1" x14ac:dyDescent="0.2">
      <c r="B129" s="51" t="s">
        <v>20</v>
      </c>
      <c r="C129" s="187" t="s">
        <v>42</v>
      </c>
      <c r="D129" s="506"/>
      <c r="E129" s="265"/>
      <c r="F129" s="281"/>
      <c r="G129" s="279" t="s">
        <v>328</v>
      </c>
      <c r="H129" s="280" t="e">
        <f>$H$124*C125*$H$125*$H$123</f>
        <v>#DIV/0!</v>
      </c>
      <c r="I129" s="279" t="s">
        <v>38</v>
      </c>
      <c r="J129" s="506"/>
      <c r="K129" s="506"/>
      <c r="L129" s="159"/>
      <c r="M129" s="506"/>
      <c r="N129" s="202"/>
    </row>
    <row r="130" spans="2:14" ht="15.75" hidden="1" customHeight="1" x14ac:dyDescent="0.25">
      <c r="B130" s="51" t="s">
        <v>20</v>
      </c>
      <c r="C130" s="115" t="e">
        <f>(1000/D77)-10</f>
        <v>#DIV/0!</v>
      </c>
      <c r="D130" s="506"/>
      <c r="E130" s="857" t="s">
        <v>47</v>
      </c>
      <c r="F130" s="858"/>
      <c r="G130" s="858"/>
      <c r="H130" s="858"/>
      <c r="I130" s="858"/>
      <c r="J130" s="858"/>
      <c r="K130" s="858"/>
      <c r="L130" s="858"/>
      <c r="M130" s="858"/>
      <c r="N130" s="859"/>
    </row>
    <row r="131" spans="2:14" ht="19.5" hidden="1" customHeight="1" x14ac:dyDescent="0.25">
      <c r="B131" s="188" t="s">
        <v>330</v>
      </c>
      <c r="C131" s="76" t="e">
        <f>($D$11-(0.2*$C$130))^2/($D$11+(0.8*$C$130))</f>
        <v>#DIV/0!</v>
      </c>
      <c r="D131" s="506"/>
      <c r="E131" s="282"/>
      <c r="F131" s="272"/>
      <c r="G131" s="269" t="s">
        <v>61</v>
      </c>
      <c r="H131" s="273" t="e">
        <f>N133</f>
        <v>#DIV/0!</v>
      </c>
      <c r="I131" s="269" t="s">
        <v>36</v>
      </c>
      <c r="J131" s="506"/>
      <c r="K131" s="511" t="s">
        <v>141</v>
      </c>
      <c r="L131" s="190" t="e">
        <f>IF(H73&gt;0.475,$J$147,IF(H73&gt;0.425,$J$146,IF(H73&gt;0.375,$J$145,IF(H73&gt;0.325,$J$144,IF(H73&gt;0.2,$J$143,$J$142)))))</f>
        <v>#DIV/0!</v>
      </c>
      <c r="M131" s="506"/>
      <c r="N131" s="202"/>
    </row>
    <row r="132" spans="2:14" ht="19.5" hidden="1" customHeight="1" x14ac:dyDescent="0.35">
      <c r="B132" s="188" t="s">
        <v>331</v>
      </c>
      <c r="C132" s="76" t="e">
        <f>($D$12-(0.2*$C$130))^2/($D$12+(0.8*$C$130))</f>
        <v>#DIV/0!</v>
      </c>
      <c r="D132" s="506"/>
      <c r="E132" s="265"/>
      <c r="F132" s="283"/>
      <c r="G132" s="269" t="s">
        <v>62</v>
      </c>
      <c r="H132" s="275">
        <f>(H9/640)</f>
        <v>0</v>
      </c>
      <c r="I132" s="269" t="s">
        <v>63</v>
      </c>
      <c r="J132" s="506"/>
      <c r="K132" s="511" t="s">
        <v>142</v>
      </c>
      <c r="L132" s="192" t="e">
        <f>IF($L$131=J142,K142,IF($L$131=J143,K143,IF($L$131=J144,K144,IF($L$131=J145,K145,IF($L$131=J146,K146,IF($L$131=J147,K147,""))))))</f>
        <v>#DIV/0!</v>
      </c>
      <c r="M132" s="165" t="s">
        <v>145</v>
      </c>
      <c r="N132" s="202" t="e">
        <f>L132+(L133*LOG(N134))+(L134*((LOG(N134))^2))</f>
        <v>#DIV/0!</v>
      </c>
    </row>
    <row r="133" spans="2:14" ht="20.25" hidden="1" customHeight="1" thickBot="1" x14ac:dyDescent="0.4">
      <c r="B133" s="193" t="s">
        <v>332</v>
      </c>
      <c r="C133" s="138" t="e">
        <f>($D$13-(0.2*$C$130))^2/($D$13+(0.8*$C$130))</f>
        <v>#DIV/0!</v>
      </c>
      <c r="D133" s="506"/>
      <c r="E133" s="276" t="s">
        <v>151</v>
      </c>
      <c r="F133" s="277" t="e">
        <f>($H$15/$H$9)*100</f>
        <v>#DIV/0!</v>
      </c>
      <c r="G133" s="278" t="s">
        <v>169</v>
      </c>
      <c r="H133" s="273" t="e">
        <f>IF(F133&gt;4.44,$N$157,IF(F133&gt;2.44,$N$156,IF(F133&gt;0.45,$N$155,IF(F133&gt;0.144,$N$154,1))))</f>
        <v>#DIV/0!</v>
      </c>
      <c r="I133" s="279" t="s">
        <v>38</v>
      </c>
      <c r="J133" s="506"/>
      <c r="K133" s="511" t="s">
        <v>143</v>
      </c>
      <c r="L133" s="192" t="e">
        <f>IF($L$131=J142,L142,IF($L$131=J143,L143,IF($L$131=J144,L144,IF($L$131=J145,L145,IF($L$131=J146,L146,IF($L$131=J147,L147,""))))))</f>
        <v>#DIV/0!</v>
      </c>
      <c r="M133" s="165" t="s">
        <v>146</v>
      </c>
      <c r="N133" s="202" t="e">
        <f>10^N132</f>
        <v>#DIV/0!</v>
      </c>
    </row>
    <row r="134" spans="2:14" ht="19.5" hidden="1" customHeight="1" x14ac:dyDescent="0.35">
      <c r="B134" s="74"/>
      <c r="C134" s="93"/>
      <c r="D134" s="194"/>
      <c r="E134" s="276"/>
      <c r="F134" s="277"/>
      <c r="G134" s="278"/>
      <c r="H134" s="273"/>
      <c r="I134" s="279"/>
      <c r="J134" s="506"/>
      <c r="K134" s="511" t="s">
        <v>144</v>
      </c>
      <c r="L134" s="192" t="e">
        <f>IF($L$131=J142,M142,IF($L$131=J143,M143,IF($L$131=J144,M144,IF($L$131=J145,M145,IF($L$131=J146,M146,IF($L$131=J147,M147,""))))))</f>
        <v>#DIV/0!</v>
      </c>
      <c r="M134" s="165" t="s">
        <v>72</v>
      </c>
      <c r="N134" s="235">
        <f>H70</f>
        <v>0</v>
      </c>
    </row>
    <row r="135" spans="2:14" ht="18.75" hidden="1" customHeight="1" x14ac:dyDescent="0.25">
      <c r="B135" s="74"/>
      <c r="C135" s="93"/>
      <c r="D135" s="194"/>
      <c r="E135" s="276"/>
      <c r="F135" s="277"/>
      <c r="G135" s="279" t="s">
        <v>37</v>
      </c>
      <c r="H135" s="280" t="e">
        <f>$H$132*$C$131*$H$133*$H$131</f>
        <v>#DIV/0!</v>
      </c>
      <c r="I135" s="279" t="s">
        <v>38</v>
      </c>
      <c r="J135" s="506"/>
      <c r="K135" s="511"/>
      <c r="L135" s="192"/>
      <c r="M135" s="165"/>
      <c r="N135" s="235"/>
    </row>
    <row r="136" spans="2:14" ht="18.75" hidden="1" customHeight="1" x14ac:dyDescent="0.25">
      <c r="B136" s="74"/>
      <c r="C136" s="93"/>
      <c r="D136" s="194"/>
      <c r="E136" s="276"/>
      <c r="F136" s="277"/>
      <c r="G136" s="279" t="s">
        <v>327</v>
      </c>
      <c r="H136" s="280" t="e">
        <f>$H$132*$C$132*$H$133*$H$131</f>
        <v>#DIV/0!</v>
      </c>
      <c r="I136" s="279" t="s">
        <v>38</v>
      </c>
      <c r="J136" s="506"/>
      <c r="K136" s="511"/>
      <c r="L136" s="192"/>
      <c r="M136" s="165"/>
      <c r="N136" s="235"/>
    </row>
    <row r="137" spans="2:14" ht="19.5" hidden="1" customHeight="1" thickBot="1" x14ac:dyDescent="0.25">
      <c r="B137" s="195"/>
      <c r="C137" s="75"/>
      <c r="D137" s="506"/>
      <c r="E137" s="211"/>
      <c r="F137" s="501"/>
      <c r="G137" s="285" t="s">
        <v>328</v>
      </c>
      <c r="H137" s="284" t="e">
        <f>$H$132*$C$133*$H$133*$H$131</f>
        <v>#DIV/0!</v>
      </c>
      <c r="I137" s="285" t="s">
        <v>38</v>
      </c>
      <c r="J137" s="501"/>
      <c r="K137" s="501"/>
      <c r="L137" s="236"/>
      <c r="M137" s="501"/>
      <c r="N137" s="222"/>
    </row>
    <row r="138" spans="2:14" ht="15.75" hidden="1" customHeight="1" thickBot="1" x14ac:dyDescent="0.25">
      <c r="B138" s="507"/>
      <c r="C138" s="507"/>
      <c r="D138" s="507"/>
      <c r="E138" s="160"/>
      <c r="F138" s="160"/>
      <c r="G138" s="160"/>
      <c r="H138" s="507"/>
      <c r="I138" s="198"/>
      <c r="J138" s="506"/>
      <c r="K138" s="506"/>
      <c r="L138" s="159"/>
      <c r="M138" s="506"/>
      <c r="N138" s="465"/>
    </row>
    <row r="139" spans="2:14" ht="15.75" hidden="1" customHeight="1" thickBot="1" x14ac:dyDescent="0.25">
      <c r="B139" s="507"/>
      <c r="C139" s="507"/>
      <c r="D139" s="507"/>
      <c r="E139" s="160"/>
      <c r="F139" s="160"/>
      <c r="G139" s="160"/>
      <c r="H139" s="507"/>
      <c r="I139" s="198"/>
      <c r="J139" s="871" t="s">
        <v>152</v>
      </c>
      <c r="K139" s="872"/>
      <c r="L139" s="872"/>
      <c r="M139" s="873"/>
      <c r="N139" s="466"/>
    </row>
    <row r="140" spans="2:14" ht="15.75" hidden="1" customHeight="1" thickBot="1" x14ac:dyDescent="0.25">
      <c r="B140" s="840" t="s">
        <v>84</v>
      </c>
      <c r="C140" s="841"/>
      <c r="D140" s="841"/>
      <c r="E140" s="841"/>
      <c r="F140" s="841"/>
      <c r="G140" s="842"/>
      <c r="H140" s="507"/>
      <c r="I140" s="198"/>
      <c r="J140" s="874"/>
      <c r="K140" s="875"/>
      <c r="L140" s="875"/>
      <c r="M140" s="876"/>
      <c r="N140" s="467"/>
    </row>
    <row r="141" spans="2:14" ht="15.75" hidden="1" customHeight="1" thickBot="1" x14ac:dyDescent="0.25">
      <c r="B141" s="846"/>
      <c r="C141" s="847"/>
      <c r="D141" s="847"/>
      <c r="E141" s="847"/>
      <c r="F141" s="847"/>
      <c r="G141" s="848"/>
      <c r="H141" s="507"/>
      <c r="I141" s="198"/>
      <c r="J141" s="91" t="s">
        <v>135</v>
      </c>
      <c r="K141" s="92" t="s">
        <v>136</v>
      </c>
      <c r="L141" s="92" t="s">
        <v>137</v>
      </c>
      <c r="M141" s="468" t="s">
        <v>525</v>
      </c>
      <c r="N141" s="469"/>
    </row>
    <row r="142" spans="2:14" ht="15.75" hidden="1" customHeight="1" x14ac:dyDescent="0.2">
      <c r="B142" s="199" t="s">
        <v>81</v>
      </c>
      <c r="C142" s="200"/>
      <c r="D142" s="200"/>
      <c r="E142" s="200"/>
      <c r="F142" s="200"/>
      <c r="G142" s="201" t="s">
        <v>82</v>
      </c>
      <c r="H142" s="507"/>
      <c r="I142" s="198"/>
      <c r="J142" s="88">
        <v>0.1</v>
      </c>
      <c r="K142" s="87">
        <v>2.5532300000000001</v>
      </c>
      <c r="L142" s="87">
        <v>-0.61512</v>
      </c>
      <c r="M142" s="470">
        <v>-0.16403000000000001</v>
      </c>
      <c r="N142" s="469"/>
    </row>
    <row r="143" spans="2:14" ht="15" hidden="1" customHeight="1" x14ac:dyDescent="0.2">
      <c r="B143" s="178" t="s">
        <v>91</v>
      </c>
      <c r="C143" s="146"/>
      <c r="D143" s="146"/>
      <c r="E143" s="146"/>
      <c r="F143" s="146"/>
      <c r="G143" s="202">
        <v>1.0999999999999999E-2</v>
      </c>
      <c r="H143" s="507"/>
      <c r="I143" s="198"/>
      <c r="J143" s="88">
        <v>0.3</v>
      </c>
      <c r="K143" s="87">
        <v>2.4653200000000002</v>
      </c>
      <c r="L143" s="87">
        <v>-0.62256999999999996</v>
      </c>
      <c r="M143" s="470">
        <v>-0.11656999999999999</v>
      </c>
      <c r="N143" s="469"/>
    </row>
    <row r="144" spans="2:14" ht="15" hidden="1" customHeight="1" x14ac:dyDescent="0.2">
      <c r="B144" s="178" t="s">
        <v>83</v>
      </c>
      <c r="C144" s="146"/>
      <c r="D144" s="146"/>
      <c r="E144" s="146"/>
      <c r="F144" s="146"/>
      <c r="G144" s="202">
        <v>0.24</v>
      </c>
      <c r="H144" s="507"/>
      <c r="I144" s="198"/>
      <c r="J144" s="88">
        <v>0.35</v>
      </c>
      <c r="K144" s="87">
        <v>2.4189600000000002</v>
      </c>
      <c r="L144" s="87">
        <v>-0.61594000000000004</v>
      </c>
      <c r="M144" s="470">
        <v>-8.8200000000000001E-2</v>
      </c>
      <c r="N144" s="469"/>
    </row>
    <row r="145" spans="2:14" ht="15.75" hidden="1" customHeight="1" thickBot="1" x14ac:dyDescent="0.25">
      <c r="B145" s="203" t="s">
        <v>13</v>
      </c>
      <c r="C145" s="204"/>
      <c r="D145" s="204"/>
      <c r="E145" s="204"/>
      <c r="F145" s="204"/>
      <c r="G145" s="205">
        <v>0.4</v>
      </c>
      <c r="H145" s="507"/>
      <c r="I145" s="198"/>
      <c r="J145" s="88">
        <v>0.4</v>
      </c>
      <c r="K145" s="87">
        <v>2.36409</v>
      </c>
      <c r="L145" s="87">
        <v>-0.59857000000000005</v>
      </c>
      <c r="M145" s="470">
        <v>-5.6210000000000003E-2</v>
      </c>
      <c r="N145" s="471"/>
    </row>
    <row r="146" spans="2:14" ht="15.75" hidden="1" customHeight="1" thickBot="1" x14ac:dyDescent="0.25">
      <c r="B146" s="507"/>
      <c r="C146" s="507"/>
      <c r="D146" s="507"/>
      <c r="E146" s="160"/>
      <c r="F146" s="160"/>
      <c r="G146" s="160"/>
      <c r="H146" s="507"/>
      <c r="I146" s="198"/>
      <c r="J146" s="88">
        <v>0.45</v>
      </c>
      <c r="K146" s="87">
        <v>2.2923800000000001</v>
      </c>
      <c r="L146" s="87">
        <v>-0.57004999999999995</v>
      </c>
      <c r="M146" s="470">
        <v>-2.281E-2</v>
      </c>
      <c r="N146" s="472"/>
    </row>
    <row r="147" spans="2:14" ht="15.75" hidden="1" customHeight="1" thickBot="1" x14ac:dyDescent="0.25">
      <c r="B147" s="840" t="s">
        <v>216</v>
      </c>
      <c r="C147" s="841"/>
      <c r="D147" s="841"/>
      <c r="E147" s="841"/>
      <c r="F147" s="841"/>
      <c r="G147" s="842"/>
      <c r="H147" s="507"/>
      <c r="I147" s="198"/>
      <c r="J147" s="89">
        <v>0.5</v>
      </c>
      <c r="K147" s="90">
        <v>2.20282</v>
      </c>
      <c r="L147" s="90">
        <v>-0.51598999999999995</v>
      </c>
      <c r="M147" s="473">
        <v>-1.259E-2</v>
      </c>
      <c r="N147" s="474"/>
    </row>
    <row r="148" spans="2:14" ht="15.75" hidden="1" customHeight="1" thickBot="1" x14ac:dyDescent="0.25">
      <c r="B148" s="843"/>
      <c r="C148" s="844"/>
      <c r="D148" s="844"/>
      <c r="E148" s="844"/>
      <c r="F148" s="844"/>
      <c r="G148" s="845"/>
      <c r="H148" s="507"/>
      <c r="I148" s="198"/>
      <c r="J148" s="105"/>
      <c r="K148" s="112"/>
      <c r="L148" s="107"/>
      <c r="M148" s="106"/>
      <c r="N148" s="474"/>
    </row>
    <row r="149" spans="2:14" ht="15.75" hidden="1" customHeight="1" thickBot="1" x14ac:dyDescent="0.25">
      <c r="B149" s="846"/>
      <c r="C149" s="847"/>
      <c r="D149" s="847"/>
      <c r="E149" s="847"/>
      <c r="F149" s="847"/>
      <c r="G149" s="848"/>
      <c r="H149" s="507"/>
      <c r="I149" s="877" t="s">
        <v>148</v>
      </c>
      <c r="J149" s="841"/>
      <c r="K149" s="841"/>
      <c r="L149" s="841"/>
      <c r="M149" s="841"/>
      <c r="N149" s="878"/>
    </row>
    <row r="150" spans="2:14" ht="15.75" hidden="1" customHeight="1" x14ac:dyDescent="0.25">
      <c r="B150" s="207" t="s">
        <v>117</v>
      </c>
      <c r="C150" s="512"/>
      <c r="D150" s="512"/>
      <c r="E150" s="512"/>
      <c r="F150" s="512"/>
      <c r="G150" s="208" t="s">
        <v>82</v>
      </c>
      <c r="H150" s="507"/>
      <c r="I150" s="879"/>
      <c r="J150" s="844"/>
      <c r="K150" s="844"/>
      <c r="L150" s="844"/>
      <c r="M150" s="844"/>
      <c r="N150" s="880"/>
    </row>
    <row r="151" spans="2:14" ht="15.75" hidden="1" customHeight="1" thickBot="1" x14ac:dyDescent="0.25">
      <c r="B151" s="509" t="s">
        <v>118</v>
      </c>
      <c r="C151" s="506"/>
      <c r="D151" s="506"/>
      <c r="E151" s="506"/>
      <c r="F151" s="506"/>
      <c r="G151" s="202">
        <v>1.6E-2</v>
      </c>
      <c r="H151" s="507"/>
      <c r="I151" s="881"/>
      <c r="J151" s="847"/>
      <c r="K151" s="847"/>
      <c r="L151" s="847"/>
      <c r="M151" s="847"/>
      <c r="N151" s="882"/>
    </row>
    <row r="152" spans="2:14" ht="18.75" hidden="1" customHeight="1" x14ac:dyDescent="0.25">
      <c r="B152" s="509" t="s">
        <v>119</v>
      </c>
      <c r="C152" s="506"/>
      <c r="D152" s="506"/>
      <c r="E152" s="506"/>
      <c r="F152" s="506"/>
      <c r="G152" s="202">
        <v>1.2E-2</v>
      </c>
      <c r="H152" s="507"/>
      <c r="I152" s="209" t="s">
        <v>147</v>
      </c>
      <c r="J152" s="512"/>
      <c r="K152" s="512"/>
      <c r="L152" s="197"/>
      <c r="M152" s="512"/>
      <c r="N152" s="475" t="s">
        <v>526</v>
      </c>
    </row>
    <row r="153" spans="2:14" ht="15" hidden="1" customHeight="1" x14ac:dyDescent="0.2">
      <c r="B153" s="509" t="s">
        <v>120</v>
      </c>
      <c r="C153" s="506"/>
      <c r="D153" s="506"/>
      <c r="E153" s="506"/>
      <c r="F153" s="506"/>
      <c r="G153" s="202">
        <v>1.4E-2</v>
      </c>
      <c r="H153" s="507"/>
      <c r="I153" s="210">
        <v>0</v>
      </c>
      <c r="J153" s="506"/>
      <c r="K153" s="506"/>
      <c r="L153" s="160" t="s">
        <v>153</v>
      </c>
      <c r="M153" s="506"/>
      <c r="N153" s="476">
        <v>1</v>
      </c>
    </row>
    <row r="154" spans="2:14" ht="15" hidden="1" customHeight="1" x14ac:dyDescent="0.2">
      <c r="B154" s="509" t="s">
        <v>83</v>
      </c>
      <c r="C154" s="506"/>
      <c r="D154" s="506"/>
      <c r="E154" s="506"/>
      <c r="F154" s="506"/>
      <c r="G154" s="202">
        <v>3.5000000000000003E-2</v>
      </c>
      <c r="H154" s="507"/>
      <c r="I154" s="210">
        <v>0.2</v>
      </c>
      <c r="J154" s="506"/>
      <c r="K154" s="506"/>
      <c r="L154" s="159" t="s">
        <v>157</v>
      </c>
      <c r="M154" s="506"/>
      <c r="N154" s="477">
        <v>0.97</v>
      </c>
    </row>
    <row r="155" spans="2:14" ht="15" hidden="1" customHeight="1" x14ac:dyDescent="0.2">
      <c r="B155" s="509" t="s">
        <v>122</v>
      </c>
      <c r="C155" s="506"/>
      <c r="D155" s="506"/>
      <c r="E155" s="506"/>
      <c r="F155" s="506"/>
      <c r="G155" s="202">
        <v>3.3000000000000002E-2</v>
      </c>
      <c r="H155" s="507"/>
      <c r="I155" s="210">
        <v>1</v>
      </c>
      <c r="J155" s="506"/>
      <c r="K155" s="506"/>
      <c r="L155" s="159" t="s">
        <v>156</v>
      </c>
      <c r="M155" s="506"/>
      <c r="N155" s="477">
        <v>0.87</v>
      </c>
    </row>
    <row r="156" spans="2:14" ht="15.75" hidden="1" customHeight="1" thickBot="1" x14ac:dyDescent="0.25">
      <c r="B156" s="211" t="s">
        <v>121</v>
      </c>
      <c r="C156" s="501"/>
      <c r="D156" s="501"/>
      <c r="E156" s="501"/>
      <c r="F156" s="501"/>
      <c r="G156" s="213">
        <v>0.04</v>
      </c>
      <c r="H156" s="507"/>
      <c r="I156" s="210">
        <v>3</v>
      </c>
      <c r="J156" s="506"/>
      <c r="K156" s="506"/>
      <c r="L156" s="159" t="s">
        <v>155</v>
      </c>
      <c r="M156" s="506"/>
      <c r="N156" s="477">
        <v>0.75</v>
      </c>
    </row>
    <row r="157" spans="2:14" ht="15" hidden="1" customHeight="1" x14ac:dyDescent="0.2">
      <c r="B157" s="507"/>
      <c r="C157" s="507"/>
      <c r="D157" s="507"/>
      <c r="E157" s="160"/>
      <c r="F157" s="160"/>
      <c r="G157" s="160"/>
      <c r="H157" s="507"/>
      <c r="I157" s="210">
        <v>5</v>
      </c>
      <c r="J157" s="506"/>
      <c r="K157" s="506"/>
      <c r="L157" s="214" t="s">
        <v>154</v>
      </c>
      <c r="M157" s="506"/>
      <c r="N157" s="477">
        <v>0.72</v>
      </c>
    </row>
    <row r="158" spans="2:14" ht="15.75" hidden="1" customHeight="1" x14ac:dyDescent="0.25">
      <c r="B158" s="215" t="s">
        <v>46</v>
      </c>
      <c r="C158" s="216"/>
      <c r="D158" s="216"/>
      <c r="E158" s="217"/>
      <c r="F158" s="217"/>
      <c r="G158" s="217"/>
      <c r="H158" s="216"/>
      <c r="I158" s="218"/>
      <c r="J158" s="117"/>
      <c r="K158" s="116"/>
      <c r="L158" s="107"/>
      <c r="M158" s="478"/>
      <c r="N158" s="474"/>
    </row>
    <row r="159" spans="2:14" ht="15.75" hidden="1" customHeight="1" thickBot="1" x14ac:dyDescent="0.25">
      <c r="B159" s="219" t="s">
        <v>102</v>
      </c>
      <c r="C159" s="216"/>
      <c r="D159" s="216"/>
      <c r="E159" s="217"/>
      <c r="F159" s="217"/>
      <c r="G159" s="217"/>
      <c r="H159" s="216"/>
      <c r="I159" s="220"/>
      <c r="J159" s="118"/>
      <c r="K159" s="119"/>
      <c r="L159" s="108"/>
      <c r="M159" s="479"/>
      <c r="N159" s="480"/>
    </row>
    <row r="160" spans="2:14" ht="15.75" hidden="1" customHeight="1" thickTop="1" x14ac:dyDescent="0.2">
      <c r="B160" s="219" t="s">
        <v>103</v>
      </c>
      <c r="C160" s="216"/>
      <c r="D160" s="216"/>
      <c r="E160" s="217"/>
      <c r="F160" s="217"/>
      <c r="G160" s="217"/>
      <c r="H160" s="216"/>
      <c r="I160" s="216"/>
      <c r="J160" s="117"/>
      <c r="K160" s="120"/>
      <c r="L160" s="109"/>
    </row>
    <row r="161" spans="2:14" ht="15" hidden="1" customHeight="1" x14ac:dyDescent="0.2">
      <c r="B161" s="216"/>
      <c r="C161" s="216"/>
      <c r="D161" s="216"/>
      <c r="E161" s="217"/>
      <c r="F161" s="217"/>
      <c r="G161" s="217"/>
      <c r="H161" s="216"/>
      <c r="I161" s="117"/>
      <c r="J161" s="107"/>
      <c r="K161" s="106"/>
      <c r="L161" s="110"/>
    </row>
    <row r="162" spans="2:14" ht="15.75" hidden="1" customHeight="1" thickBot="1" x14ac:dyDescent="0.25">
      <c r="B162" s="216"/>
      <c r="C162" s="217"/>
      <c r="D162" s="217"/>
      <c r="E162" s="217"/>
      <c r="F162" s="216"/>
      <c r="G162" s="216"/>
      <c r="H162" s="117"/>
      <c r="I162" s="111"/>
      <c r="J162" s="105"/>
      <c r="K162" s="206"/>
      <c r="L162" s="507"/>
    </row>
    <row r="163" spans="2:14" ht="16.5" hidden="1" customHeight="1" thickBot="1" x14ac:dyDescent="0.3">
      <c r="B163" s="852" t="s">
        <v>206</v>
      </c>
      <c r="C163" s="853"/>
      <c r="D163" s="853"/>
      <c r="E163" s="853"/>
      <c r="F163" s="854"/>
      <c r="G163" s="514"/>
      <c r="H163" s="514"/>
      <c r="I163" s="507"/>
      <c r="J163" s="542"/>
      <c r="K163" s="543" t="s">
        <v>532</v>
      </c>
      <c r="L163" s="544"/>
    </row>
    <row r="164" spans="2:14" ht="15" hidden="1" customHeight="1" x14ac:dyDescent="0.2">
      <c r="B164" s="517"/>
      <c r="C164" s="510"/>
      <c r="D164" s="510"/>
      <c r="E164" s="510"/>
      <c r="F164" s="518"/>
      <c r="G164" s="514"/>
      <c r="H164" s="514"/>
      <c r="I164" s="507"/>
      <c r="J164" s="530"/>
      <c r="K164" s="512"/>
      <c r="L164" s="522"/>
    </row>
    <row r="165" spans="2:14" ht="19.5" hidden="1" customHeight="1" x14ac:dyDescent="0.35">
      <c r="B165" s="509" t="s">
        <v>533</v>
      </c>
      <c r="C165" s="510"/>
      <c r="D165" s="510"/>
      <c r="E165" s="510"/>
      <c r="F165" s="518"/>
      <c r="G165" s="508"/>
      <c r="H165" s="514"/>
      <c r="I165" s="507"/>
      <c r="J165" s="509" t="s">
        <v>534</v>
      </c>
      <c r="K165" s="506"/>
      <c r="L165" s="513"/>
    </row>
    <row r="166" spans="2:14" ht="15" hidden="1" customHeight="1" x14ac:dyDescent="0.2">
      <c r="B166" s="509"/>
      <c r="C166" s="510"/>
      <c r="D166" s="510"/>
      <c r="E166" s="510"/>
      <c r="F166" s="518"/>
      <c r="G166" s="508"/>
      <c r="H166" s="514"/>
      <c r="I166" s="507"/>
      <c r="J166" s="509" t="s">
        <v>535</v>
      </c>
      <c r="K166" s="506"/>
      <c r="L166" s="513"/>
    </row>
    <row r="167" spans="2:14" ht="15" hidden="1" customHeight="1" x14ac:dyDescent="0.2">
      <c r="B167" s="524" t="s">
        <v>536</v>
      </c>
      <c r="C167" s="549">
        <f>SUM(H25:K26)</f>
        <v>0</v>
      </c>
      <c r="D167" s="510"/>
      <c r="E167" s="524" t="s">
        <v>537</v>
      </c>
      <c r="F167" s="533">
        <f>SUM(H17:K24)</f>
        <v>0</v>
      </c>
      <c r="G167" s="547" t="s">
        <v>538</v>
      </c>
      <c r="H167" s="514"/>
      <c r="I167" s="507"/>
      <c r="J167" s="509" t="s">
        <v>539</v>
      </c>
      <c r="K167" s="506"/>
      <c r="L167" s="513"/>
    </row>
    <row r="168" spans="2:14" ht="19.5" hidden="1" customHeight="1" x14ac:dyDescent="0.35">
      <c r="B168" s="519" t="s">
        <v>540</v>
      </c>
      <c r="C168" s="515">
        <f>(1000/98)-10</f>
        <v>0.20408163265306101</v>
      </c>
      <c r="D168" s="510"/>
      <c r="E168" s="505" t="s">
        <v>380</v>
      </c>
      <c r="F168" s="520" t="e">
        <f>IF(I109&gt;64,(1000/I109)-10,0)</f>
        <v>#DIV/0!</v>
      </c>
      <c r="G168" s="514"/>
      <c r="H168" s="514"/>
      <c r="I168" s="507"/>
      <c r="J168" s="509" t="s">
        <v>541</v>
      </c>
      <c r="K168" s="506"/>
      <c r="L168" s="513"/>
    </row>
    <row r="169" spans="2:14" ht="20.25" hidden="1" customHeight="1" thickBot="1" x14ac:dyDescent="0.25">
      <c r="B169" s="519" t="s">
        <v>542</v>
      </c>
      <c r="C169" s="516">
        <f>(1-(0.2*$C$168))^2/(1+(0.8*$C$168))</f>
        <v>0.79090583601861819</v>
      </c>
      <c r="D169" s="510"/>
      <c r="E169" s="505" t="s">
        <v>381</v>
      </c>
      <c r="F169" s="548" t="e">
        <f>IF(I109&gt;64,(1-(0.2*F168))^2/(1+(0.8*F168)),0)</f>
        <v>#DIV/0!</v>
      </c>
      <c r="G169" s="514"/>
      <c r="H169" s="514"/>
      <c r="I169" s="523"/>
      <c r="J169" s="538"/>
      <c r="K169" s="511" t="s">
        <v>543</v>
      </c>
      <c r="L169" s="539" t="e">
        <f>(SUM(H25:K26))/H9</f>
        <v>#DIV/0!</v>
      </c>
      <c r="M169" s="507" t="s">
        <v>544</v>
      </c>
    </row>
    <row r="170" spans="2:14" s="497" customFormat="1" ht="24" hidden="1" customHeight="1" thickBot="1" x14ac:dyDescent="0.4">
      <c r="B170" s="524" t="s">
        <v>545</v>
      </c>
      <c r="C170" s="545">
        <f>(C169/12)*(C167*43560)</f>
        <v>0</v>
      </c>
      <c r="D170" s="511"/>
      <c r="E170" s="511" t="s">
        <v>545</v>
      </c>
      <c r="F170" s="546" t="e">
        <f>(F169/12)*(F167*43560)</f>
        <v>#DIV/0!</v>
      </c>
      <c r="G170" s="530" t="s">
        <v>546</v>
      </c>
      <c r="H170" s="521"/>
      <c r="I170" s="536"/>
      <c r="J170" s="540"/>
      <c r="K170" s="511" t="s">
        <v>547</v>
      </c>
      <c r="L170" s="539" t="e">
        <f>0.05+(0.9*L169)</f>
        <v>#DIV/0!</v>
      </c>
      <c r="M170" s="523"/>
      <c r="N170" s="523"/>
    </row>
    <row r="171" spans="2:14" s="497" customFormat="1" ht="24" hidden="1" customHeight="1" thickBot="1" x14ac:dyDescent="0.4">
      <c r="B171" s="524" t="s">
        <v>382</v>
      </c>
      <c r="C171" s="525" t="e">
        <f>(C169*C167+F169*F167)/H10</f>
        <v>#DIV/0!</v>
      </c>
      <c r="D171" s="526"/>
      <c r="E171" s="510"/>
      <c r="F171" s="518"/>
      <c r="G171" s="552" t="e">
        <f>C170+F170</f>
        <v>#DIV/0!</v>
      </c>
      <c r="H171" s="532"/>
      <c r="I171" s="506" t="s">
        <v>548</v>
      </c>
      <c r="J171" s="540"/>
      <c r="K171" s="534" t="s">
        <v>549</v>
      </c>
      <c r="L171" s="535" t="e">
        <f>3630*1*L170*H9</f>
        <v>#DIV/0!</v>
      </c>
      <c r="M171" s="523"/>
      <c r="N171" s="523"/>
    </row>
    <row r="172" spans="2:14" s="497" customFormat="1" ht="15.75" hidden="1" customHeight="1" thickBot="1" x14ac:dyDescent="0.25">
      <c r="B172" s="527"/>
      <c r="C172" s="528"/>
      <c r="D172" s="528"/>
      <c r="E172" s="528"/>
      <c r="F172" s="529"/>
      <c r="G172" s="527"/>
      <c r="H172" s="528"/>
      <c r="I172" s="537"/>
      <c r="J172" s="541"/>
      <c r="K172" s="537"/>
      <c r="L172" s="531"/>
      <c r="M172" s="523"/>
      <c r="N172" s="523"/>
    </row>
    <row r="173" spans="2:14" s="497" customFormat="1" ht="15" hidden="1" customHeight="1" x14ac:dyDescent="0.2">
      <c r="B173" s="868" t="s">
        <v>161</v>
      </c>
      <c r="C173" s="868"/>
      <c r="D173" s="868"/>
      <c r="E173" s="868"/>
      <c r="F173" s="523"/>
      <c r="G173" s="523"/>
      <c r="H173" s="523"/>
      <c r="I173" s="523"/>
      <c r="J173" s="523"/>
      <c r="K173" s="523"/>
      <c r="L173" s="523"/>
      <c r="M173" s="523"/>
      <c r="N173" s="523"/>
    </row>
    <row r="174" spans="2:14" s="497" customFormat="1" ht="15.75" hidden="1" customHeight="1" thickBot="1" x14ac:dyDescent="0.25">
      <c r="B174" s="868"/>
      <c r="C174" s="868"/>
      <c r="D174" s="868"/>
      <c r="E174" s="868"/>
      <c r="F174" s="523"/>
      <c r="G174" s="523"/>
      <c r="H174" s="523"/>
      <c r="I174" s="507"/>
      <c r="J174" s="523"/>
      <c r="K174" s="523"/>
      <c r="L174" s="523"/>
      <c r="M174" s="523"/>
      <c r="N174" s="523"/>
    </row>
    <row r="175" spans="2:14" s="497" customFormat="1" ht="16.5" hidden="1" customHeight="1" thickBot="1" x14ac:dyDescent="0.3">
      <c r="B175" s="351"/>
      <c r="C175" s="352"/>
      <c r="D175" s="353"/>
      <c r="E175" s="351"/>
      <c r="F175" s="523"/>
      <c r="G175" s="523"/>
      <c r="H175" s="523"/>
      <c r="I175" s="507" t="s">
        <v>550</v>
      </c>
      <c r="J175" s="523"/>
      <c r="K175" s="551" t="e">
        <f>IF(G171&gt;L171,G171,L171)</f>
        <v>#DIV/0!</v>
      </c>
      <c r="L175" s="507" t="s">
        <v>551</v>
      </c>
      <c r="M175" s="523"/>
      <c r="N175" s="523"/>
    </row>
    <row r="176" spans="2:14" s="497" customFormat="1" ht="19.5" hidden="1" customHeight="1" x14ac:dyDescent="0.2">
      <c r="B176" s="833" t="s">
        <v>227</v>
      </c>
      <c r="C176" s="833"/>
      <c r="D176" s="833"/>
      <c r="E176" s="833"/>
      <c r="F176" s="507"/>
      <c r="G176" s="523"/>
      <c r="H176" s="349"/>
      <c r="I176" s="350"/>
      <c r="J176" s="523"/>
      <c r="K176" s="523"/>
      <c r="L176" s="523"/>
      <c r="M176" s="523"/>
      <c r="N176" s="523"/>
    </row>
    <row r="177" spans="2:14" s="497" customFormat="1" ht="15" hidden="1" customHeight="1" x14ac:dyDescent="0.2">
      <c r="B177" s="834" t="s">
        <v>33</v>
      </c>
      <c r="C177" s="834"/>
      <c r="D177" s="834"/>
      <c r="E177" s="834"/>
      <c r="F177" s="523"/>
      <c r="G177" s="523"/>
      <c r="H177" s="523"/>
      <c r="I177" s="523"/>
      <c r="J177" s="523"/>
      <c r="K177" s="523"/>
      <c r="L177" s="523"/>
      <c r="M177" s="523"/>
      <c r="N177" s="523"/>
    </row>
    <row r="178" spans="2:14" s="497" customFormat="1" ht="19.5" hidden="1" customHeight="1" x14ac:dyDescent="0.2">
      <c r="B178" s="833" t="s">
        <v>228</v>
      </c>
      <c r="C178" s="833"/>
      <c r="D178" s="833"/>
      <c r="E178" s="833"/>
      <c r="F178" s="523"/>
      <c r="G178" s="523"/>
      <c r="H178" s="523"/>
      <c r="I178" s="523"/>
      <c r="J178" s="523"/>
      <c r="K178" s="523"/>
      <c r="L178" s="523"/>
      <c r="M178" s="523"/>
      <c r="N178" s="523"/>
    </row>
    <row r="179" spans="2:14" s="497" customFormat="1" ht="19.5" hidden="1" customHeight="1" x14ac:dyDescent="0.2">
      <c r="B179" s="833" t="s">
        <v>224</v>
      </c>
      <c r="C179" s="833"/>
      <c r="D179" s="833"/>
      <c r="E179" s="833"/>
      <c r="F179" s="523"/>
      <c r="G179" s="523"/>
      <c r="H179" s="523"/>
      <c r="I179" s="523"/>
      <c r="J179" s="523"/>
      <c r="K179" s="523"/>
      <c r="L179" s="523"/>
      <c r="M179" s="523"/>
      <c r="N179" s="523"/>
    </row>
    <row r="180" spans="2:14" s="497" customFormat="1" ht="19.5" hidden="1" customHeight="1" x14ac:dyDescent="0.2">
      <c r="B180" s="833" t="s">
        <v>162</v>
      </c>
      <c r="C180" s="833"/>
      <c r="D180" s="833"/>
      <c r="E180" s="833"/>
      <c r="F180" s="523"/>
      <c r="G180" s="523"/>
      <c r="H180" s="523"/>
      <c r="I180" s="523"/>
      <c r="J180" s="523"/>
      <c r="K180" s="523"/>
      <c r="L180" s="523"/>
      <c r="M180" s="523"/>
      <c r="N180" s="523"/>
    </row>
    <row r="181" spans="2:14" s="497" customFormat="1" ht="15" hidden="1" customHeight="1" x14ac:dyDescent="0.2">
      <c r="B181" s="835" t="s">
        <v>163</v>
      </c>
      <c r="C181" s="835"/>
      <c r="D181" s="835"/>
      <c r="E181" s="835"/>
      <c r="F181" s="523"/>
      <c r="G181" s="523"/>
      <c r="H181" s="523"/>
      <c r="I181" s="523"/>
      <c r="J181" s="523"/>
      <c r="K181" s="523"/>
      <c r="L181" s="523"/>
      <c r="M181" s="523"/>
      <c r="N181" s="523"/>
    </row>
    <row r="182" spans="2:14" s="497" customFormat="1" ht="15" hidden="1" customHeight="1" x14ac:dyDescent="0.2">
      <c r="B182" s="523"/>
      <c r="C182" s="523"/>
      <c r="D182" s="523"/>
      <c r="E182" s="523"/>
      <c r="F182" s="523"/>
      <c r="G182" s="523"/>
      <c r="H182" s="523"/>
      <c r="I182" s="523"/>
      <c r="J182" s="523"/>
      <c r="K182" s="523"/>
      <c r="L182" s="523"/>
      <c r="M182" s="523"/>
      <c r="N182" s="523"/>
    </row>
    <row r="183" spans="2:14" s="497" customFormat="1" ht="19.5" hidden="1" customHeight="1" x14ac:dyDescent="0.2">
      <c r="B183" s="354" t="s">
        <v>225</v>
      </c>
      <c r="C183" s="355" t="e">
        <f>$H$74</f>
        <v>#DIV/0!</v>
      </c>
      <c r="D183" s="356"/>
      <c r="E183" s="356"/>
      <c r="F183" s="523"/>
      <c r="G183" s="523"/>
      <c r="H183" s="523"/>
      <c r="I183" s="523"/>
      <c r="J183" s="523"/>
      <c r="K183" s="523"/>
      <c r="L183" s="523"/>
      <c r="M183" s="523"/>
      <c r="N183" s="523"/>
    </row>
    <row r="184" spans="2:14" s="139" customFormat="1" ht="19.5" hidden="1" customHeight="1" x14ac:dyDescent="0.2">
      <c r="B184" s="354" t="s">
        <v>164</v>
      </c>
      <c r="C184" s="160" t="e">
        <f>ROUND((C183-(C186/100)*98)/(1-(C186/100)),2)</f>
        <v>#DIV/0!</v>
      </c>
      <c r="D184" s="356"/>
      <c r="E184" s="356"/>
      <c r="F184" s="507"/>
      <c r="G184" s="507"/>
      <c r="H184" s="507"/>
      <c r="I184" s="507"/>
      <c r="J184" s="507"/>
      <c r="K184" s="507"/>
      <c r="L184" s="507"/>
      <c r="M184" s="507"/>
      <c r="N184" s="507"/>
    </row>
    <row r="185" spans="2:14" s="139" customFormat="1" ht="19.5" hidden="1" customHeight="1" x14ac:dyDescent="0.2">
      <c r="B185" s="354" t="s">
        <v>165</v>
      </c>
      <c r="C185" s="357" t="e">
        <f>SUM(H25:K26)/SUM(H17:K26)</f>
        <v>#DIV/0!</v>
      </c>
      <c r="D185" s="358">
        <v>0.3</v>
      </c>
      <c r="E185" s="359"/>
      <c r="F185" s="507"/>
      <c r="G185" s="507"/>
      <c r="H185" s="507"/>
      <c r="I185" s="507"/>
      <c r="J185" s="507"/>
      <c r="K185" s="507"/>
      <c r="L185" s="507"/>
      <c r="M185" s="507"/>
      <c r="N185" s="507"/>
    </row>
    <row r="186" spans="2:14" s="139" customFormat="1" ht="34.5" hidden="1" customHeight="1" x14ac:dyDescent="0.2">
      <c r="B186" s="360" t="s">
        <v>317</v>
      </c>
      <c r="C186" s="357" t="e">
        <f>IF(C185&gt;D185,D185,C185)</f>
        <v>#DIV/0!</v>
      </c>
      <c r="D186" s="359"/>
      <c r="E186" s="359"/>
      <c r="F186" s="507"/>
      <c r="G186" s="507"/>
      <c r="H186" s="507"/>
      <c r="I186" s="507"/>
      <c r="J186" s="507"/>
      <c r="K186" s="507"/>
      <c r="L186" s="507"/>
      <c r="M186" s="507"/>
      <c r="N186" s="507"/>
    </row>
    <row r="187" spans="2:14" s="139" customFormat="1" ht="15" hidden="1" customHeight="1" x14ac:dyDescent="0.2">
      <c r="B187" s="354" t="s">
        <v>166</v>
      </c>
      <c r="C187" s="361" t="str">
        <f>IF(D76&gt;0,(D76/(SUM($H$25:$K$26))),"-")</f>
        <v>-</v>
      </c>
      <c r="D187" s="362"/>
      <c r="E187" s="362"/>
      <c r="F187" s="362"/>
      <c r="G187" s="362"/>
      <c r="H187" s="362"/>
      <c r="I187" s="362"/>
      <c r="J187" s="362"/>
      <c r="K187" s="506"/>
      <c r="L187" s="507"/>
      <c r="M187" s="507"/>
      <c r="N187" s="507"/>
    </row>
    <row r="188" spans="2:14" s="139" customFormat="1" ht="19.5" hidden="1" customHeight="1" x14ac:dyDescent="0.2">
      <c r="B188" s="354" t="s">
        <v>229</v>
      </c>
      <c r="C188" s="160" t="e">
        <f>ROUND(C184+((C186/100)*(98-C184)*(1-(0.5*C187))),2)</f>
        <v>#DIV/0!</v>
      </c>
      <c r="D188" s="507"/>
      <c r="E188" s="507"/>
      <c r="F188" s="507"/>
      <c r="G188" s="507"/>
      <c r="H188" s="507"/>
      <c r="I188" s="507"/>
      <c r="J188" s="507"/>
      <c r="K188" s="507"/>
      <c r="L188" s="507"/>
      <c r="M188" s="507"/>
      <c r="N188" s="507"/>
    </row>
    <row r="189" spans="2:14" s="497" customFormat="1" ht="15" hidden="1" customHeight="1" x14ac:dyDescent="0.2">
      <c r="B189" s="523"/>
      <c r="C189" s="523"/>
      <c r="D189" s="523"/>
      <c r="E189" s="523"/>
      <c r="F189" s="523"/>
      <c r="G189" s="523"/>
      <c r="H189" s="523"/>
      <c r="I189" s="523"/>
      <c r="J189" s="523"/>
      <c r="K189" s="523"/>
      <c r="L189" s="523"/>
      <c r="M189" s="523"/>
      <c r="N189" s="523"/>
    </row>
    <row r="190" spans="2:14" s="497" customFormat="1" ht="15" hidden="1" customHeight="1" x14ac:dyDescent="0.2">
      <c r="B190" s="523"/>
      <c r="C190" s="523"/>
      <c r="D190" s="523"/>
      <c r="E190" s="523"/>
      <c r="F190" s="523"/>
      <c r="G190" s="523"/>
      <c r="H190" s="523"/>
      <c r="I190" s="523"/>
      <c r="J190" s="523"/>
      <c r="K190" s="523"/>
      <c r="L190" s="523"/>
      <c r="M190" s="523"/>
      <c r="N190" s="523"/>
    </row>
    <row r="191" spans="2:14" s="497" customFormat="1" ht="30" hidden="1" customHeight="1" x14ac:dyDescent="0.2">
      <c r="B191" s="413" t="s">
        <v>402</v>
      </c>
      <c r="C191" s="361">
        <f>SUM($H$26:$K$26)</f>
        <v>0</v>
      </c>
      <c r="D191" s="523"/>
      <c r="E191" s="362"/>
      <c r="F191" s="362"/>
      <c r="G191" s="362"/>
      <c r="H191" s="362"/>
      <c r="I191" s="362"/>
      <c r="J191" s="362"/>
      <c r="K191" s="362"/>
      <c r="L191" s="523"/>
      <c r="M191" s="523"/>
      <c r="N191" s="523"/>
    </row>
    <row r="192" spans="2:14" s="497" customFormat="1" ht="15" hidden="1" customHeight="1" x14ac:dyDescent="0.2">
      <c r="B192" s="523"/>
      <c r="C192" s="523"/>
      <c r="D192" s="523"/>
      <c r="E192" s="523"/>
      <c r="F192" s="523"/>
      <c r="G192" s="523"/>
      <c r="H192" s="523"/>
      <c r="I192" s="523"/>
      <c r="J192" s="523"/>
      <c r="K192" s="523"/>
      <c r="L192" s="523"/>
      <c r="M192" s="523"/>
      <c r="N192" s="523"/>
    </row>
    <row r="193" spans="2:14" s="497" customFormat="1" ht="15" hidden="1" customHeight="1" x14ac:dyDescent="0.2">
      <c r="B193" s="523"/>
      <c r="C193" s="523"/>
      <c r="D193" s="523"/>
      <c r="E193" s="523"/>
      <c r="F193" s="523"/>
      <c r="G193" s="523"/>
      <c r="H193" s="523"/>
      <c r="I193" s="523"/>
      <c r="J193" s="523"/>
      <c r="K193" s="523"/>
      <c r="L193" s="523"/>
      <c r="M193" s="523"/>
      <c r="N193" s="523"/>
    </row>
    <row r="194" spans="2:14" s="497" customFormat="1" ht="15" hidden="1" customHeight="1" x14ac:dyDescent="0.2">
      <c r="B194" s="523"/>
      <c r="C194" s="523"/>
      <c r="D194" s="523"/>
      <c r="E194" s="523"/>
      <c r="F194" s="523"/>
      <c r="G194" s="523"/>
      <c r="H194" s="523"/>
      <c r="I194" s="523"/>
      <c r="J194" s="523"/>
      <c r="K194" s="523"/>
      <c r="L194" s="523"/>
      <c r="M194" s="523"/>
      <c r="N194" s="523"/>
    </row>
    <row r="195" spans="2:14" s="497" customFormat="1" ht="15.75" thickTop="1" x14ac:dyDescent="0.2">
      <c r="B195" s="737" t="s">
        <v>435</v>
      </c>
      <c r="C195" s="737"/>
      <c r="D195" s="737"/>
      <c r="E195" s="737"/>
      <c r="F195" s="737"/>
      <c r="G195" s="737"/>
      <c r="H195" s="737"/>
      <c r="I195" s="737"/>
      <c r="J195" s="737"/>
      <c r="K195" s="737"/>
      <c r="L195" s="507"/>
      <c r="M195" s="523"/>
      <c r="N195" s="523"/>
    </row>
    <row r="196" spans="2:14" x14ac:dyDescent="0.2">
      <c r="B196" s="737"/>
      <c r="C196" s="737"/>
      <c r="D196" s="737"/>
      <c r="E196" s="737"/>
      <c r="F196" s="737"/>
      <c r="G196" s="737"/>
      <c r="H196" s="737"/>
      <c r="I196" s="737"/>
      <c r="J196" s="737"/>
      <c r="K196" s="737"/>
      <c r="L196" s="507"/>
    </row>
    <row r="197" spans="2:14" ht="15.75" x14ac:dyDescent="0.2">
      <c r="B197" s="738" t="s">
        <v>436</v>
      </c>
      <c r="C197" s="738"/>
      <c r="D197" s="738"/>
      <c r="E197" s="738"/>
      <c r="F197" s="738"/>
      <c r="G197" s="738"/>
      <c r="H197" s="738"/>
      <c r="I197" s="738"/>
      <c r="J197" s="738"/>
      <c r="K197" s="738"/>
      <c r="L197" s="507"/>
    </row>
    <row r="198" spans="2:14" x14ac:dyDescent="0.2">
      <c r="B198" s="737" t="s">
        <v>437</v>
      </c>
      <c r="C198" s="737"/>
      <c r="D198" s="737"/>
      <c r="E198" s="737"/>
      <c r="F198" s="737"/>
      <c r="G198" s="737"/>
      <c r="H198" s="737"/>
      <c r="I198" s="737"/>
      <c r="J198" s="737"/>
      <c r="K198" s="737"/>
      <c r="L198" s="507"/>
    </row>
    <row r="199" spans="2:14" x14ac:dyDescent="0.2">
      <c r="B199" s="737"/>
      <c r="C199" s="737"/>
      <c r="D199" s="737"/>
      <c r="E199" s="737"/>
      <c r="F199" s="737"/>
      <c r="G199" s="737"/>
      <c r="H199" s="737"/>
      <c r="I199" s="737"/>
      <c r="J199" s="737"/>
      <c r="K199" s="737"/>
    </row>
    <row r="200" spans="2:14" x14ac:dyDescent="0.2">
      <c r="B200" s="507"/>
      <c r="C200" s="507"/>
      <c r="D200" s="507"/>
      <c r="E200" s="160"/>
      <c r="F200" s="160"/>
      <c r="G200" s="160"/>
      <c r="H200" s="507"/>
      <c r="I200" s="507"/>
      <c r="J200" s="507"/>
      <c r="K200" s="507"/>
    </row>
    <row r="201" spans="2:14" x14ac:dyDescent="0.2">
      <c r="B201" s="507"/>
      <c r="C201" s="507"/>
      <c r="D201" s="507"/>
      <c r="E201" s="160"/>
      <c r="F201" s="160"/>
      <c r="G201" s="160"/>
      <c r="H201" s="507"/>
      <c r="I201" s="507"/>
      <c r="J201" s="507"/>
      <c r="K201" s="507"/>
    </row>
    <row r="202" spans="2:14" x14ac:dyDescent="0.2">
      <c r="B202" s="507"/>
      <c r="C202" s="507"/>
      <c r="D202" s="507"/>
      <c r="E202" s="160"/>
      <c r="F202" s="160"/>
      <c r="G202" s="160"/>
      <c r="H202" s="507"/>
      <c r="I202" s="507"/>
      <c r="J202" s="507"/>
      <c r="K202" s="507"/>
    </row>
    <row r="203" spans="2:14" x14ac:dyDescent="0.2">
      <c r="B203" s="507"/>
      <c r="C203" s="507"/>
      <c r="D203" s="507"/>
      <c r="E203" s="160"/>
      <c r="F203" s="160"/>
      <c r="G203" s="160"/>
      <c r="H203" s="507"/>
      <c r="I203" s="507"/>
      <c r="J203" s="507"/>
      <c r="K203" s="507"/>
    </row>
    <row r="204" spans="2:14" x14ac:dyDescent="0.2">
      <c r="B204" s="507"/>
      <c r="C204" s="507"/>
      <c r="D204" s="507"/>
      <c r="E204" s="160"/>
      <c r="F204" s="160"/>
      <c r="G204" s="160"/>
      <c r="H204" s="507"/>
      <c r="I204" s="507"/>
      <c r="J204" s="507"/>
      <c r="K204" s="507"/>
    </row>
    <row r="205" spans="2:14" x14ac:dyDescent="0.2">
      <c r="B205" s="507"/>
      <c r="C205" s="507"/>
      <c r="D205" s="507"/>
      <c r="E205" s="160"/>
      <c r="F205" s="160"/>
      <c r="G205" s="160"/>
      <c r="H205" s="507"/>
      <c r="I205" s="507"/>
      <c r="J205" s="507"/>
      <c r="K205" s="507"/>
    </row>
    <row r="206" spans="2:14" x14ac:dyDescent="0.2">
      <c r="B206" s="507"/>
      <c r="C206" s="507"/>
      <c r="D206" s="507"/>
      <c r="E206" s="160"/>
      <c r="F206" s="160"/>
      <c r="G206" s="160"/>
      <c r="H206" s="507"/>
      <c r="I206" s="507"/>
      <c r="J206" s="507"/>
      <c r="K206" s="507"/>
    </row>
    <row r="207" spans="2:14" x14ac:dyDescent="0.2">
      <c r="B207" s="507"/>
      <c r="C207" s="507"/>
      <c r="D207" s="507"/>
      <c r="E207" s="160"/>
      <c r="F207" s="160"/>
      <c r="G207" s="160"/>
      <c r="H207" s="507"/>
      <c r="I207" s="507"/>
      <c r="J207" s="507"/>
      <c r="K207" s="507"/>
    </row>
    <row r="208" spans="2:14" x14ac:dyDescent="0.2">
      <c r="B208" s="507"/>
      <c r="C208" s="507"/>
      <c r="D208" s="507"/>
      <c r="E208" s="160"/>
      <c r="F208" s="160"/>
      <c r="G208" s="160"/>
      <c r="H208" s="507"/>
      <c r="I208" s="507"/>
      <c r="J208" s="507"/>
      <c r="K208" s="507"/>
    </row>
    <row r="209" spans="2:12" x14ac:dyDescent="0.2">
      <c r="B209" s="507"/>
      <c r="C209" s="507"/>
      <c r="D209" s="507"/>
      <c r="E209" s="160"/>
      <c r="F209" s="160"/>
      <c r="G209" s="160"/>
      <c r="H209" s="507"/>
      <c r="I209" s="507"/>
      <c r="J209" s="507"/>
      <c r="K209" s="507"/>
    </row>
    <row r="210" spans="2:12" s="507" customFormat="1" x14ac:dyDescent="0.2">
      <c r="E210" s="160"/>
      <c r="F210" s="160"/>
      <c r="G210" s="160"/>
      <c r="L210" s="160"/>
    </row>
    <row r="211" spans="2:12" s="507" customFormat="1" x14ac:dyDescent="0.2">
      <c r="E211" s="160"/>
      <c r="F211" s="160"/>
      <c r="G211" s="160"/>
      <c r="L211" s="160"/>
    </row>
    <row r="212" spans="2:12" s="507" customFormat="1" x14ac:dyDescent="0.2">
      <c r="E212" s="160"/>
      <c r="F212" s="160"/>
      <c r="G212" s="160"/>
      <c r="L212" s="160"/>
    </row>
    <row r="213" spans="2:12" s="507" customFormat="1" x14ac:dyDescent="0.2">
      <c r="E213" s="160"/>
      <c r="F213" s="160"/>
      <c r="G213" s="160"/>
      <c r="L213" s="160"/>
    </row>
    <row r="214" spans="2:12" s="507" customFormat="1" x14ac:dyDescent="0.2">
      <c r="E214" s="160"/>
      <c r="F214" s="160"/>
      <c r="G214" s="160"/>
      <c r="L214" s="160"/>
    </row>
    <row r="215" spans="2:12" s="507" customFormat="1" x14ac:dyDescent="0.2">
      <c r="E215" s="160"/>
      <c r="F215" s="160"/>
      <c r="G215" s="160"/>
      <c r="L215" s="160"/>
    </row>
    <row r="216" spans="2:12" s="507" customFormat="1" x14ac:dyDescent="0.2">
      <c r="E216" s="160"/>
      <c r="F216" s="160"/>
      <c r="G216" s="160"/>
      <c r="L216" s="160"/>
    </row>
    <row r="217" spans="2:12" s="507" customFormat="1" x14ac:dyDescent="0.2">
      <c r="E217" s="160"/>
      <c r="F217" s="160"/>
      <c r="G217" s="160"/>
      <c r="L217" s="160"/>
    </row>
    <row r="218" spans="2:12" s="507" customFormat="1" x14ac:dyDescent="0.2">
      <c r="E218" s="160"/>
      <c r="F218" s="160"/>
      <c r="G218" s="160"/>
      <c r="L218" s="160"/>
    </row>
    <row r="219" spans="2:12" s="507" customFormat="1" x14ac:dyDescent="0.2">
      <c r="E219" s="160"/>
      <c r="F219" s="160"/>
      <c r="G219" s="160"/>
      <c r="L219" s="160"/>
    </row>
    <row r="220" spans="2:12" s="507" customFormat="1" x14ac:dyDescent="0.2">
      <c r="E220" s="160"/>
      <c r="F220" s="160"/>
      <c r="G220" s="160"/>
      <c r="L220" s="160"/>
    </row>
    <row r="221" spans="2:12" s="507" customFormat="1" x14ac:dyDescent="0.2">
      <c r="E221" s="160"/>
      <c r="F221" s="160"/>
      <c r="G221" s="160"/>
      <c r="L221" s="160"/>
    </row>
    <row r="222" spans="2:12" s="507" customFormat="1" x14ac:dyDescent="0.2">
      <c r="E222" s="160"/>
      <c r="F222" s="160"/>
      <c r="G222" s="160"/>
      <c r="L222" s="160"/>
    </row>
    <row r="223" spans="2:12" s="507" customFormat="1" x14ac:dyDescent="0.2">
      <c r="E223" s="160"/>
      <c r="F223" s="160"/>
      <c r="G223" s="160"/>
      <c r="L223" s="160"/>
    </row>
    <row r="224" spans="2:12" s="507" customFormat="1" x14ac:dyDescent="0.2">
      <c r="E224" s="160"/>
      <c r="F224" s="160"/>
      <c r="G224" s="160"/>
      <c r="L224" s="160"/>
    </row>
    <row r="225" spans="5:12" s="507" customFormat="1" x14ac:dyDescent="0.2">
      <c r="E225" s="160"/>
      <c r="F225" s="160"/>
      <c r="G225" s="160"/>
      <c r="L225" s="160"/>
    </row>
    <row r="226" spans="5:12" s="507" customFormat="1" x14ac:dyDescent="0.2">
      <c r="E226" s="160"/>
      <c r="F226" s="160"/>
      <c r="G226" s="160"/>
      <c r="L226" s="160"/>
    </row>
    <row r="227" spans="5:12" s="507" customFormat="1" x14ac:dyDescent="0.2">
      <c r="E227" s="160"/>
      <c r="F227" s="160"/>
      <c r="G227" s="160"/>
      <c r="L227" s="160"/>
    </row>
    <row r="228" spans="5:12" s="507" customFormat="1" x14ac:dyDescent="0.2">
      <c r="E228" s="160"/>
      <c r="F228" s="160"/>
      <c r="G228" s="160"/>
      <c r="L228" s="160"/>
    </row>
    <row r="229" spans="5:12" s="507" customFormat="1" x14ac:dyDescent="0.2">
      <c r="E229" s="160"/>
      <c r="F229" s="160"/>
      <c r="G229" s="160"/>
      <c r="L229" s="160"/>
    </row>
    <row r="230" spans="5:12" s="507" customFormat="1" x14ac:dyDescent="0.2">
      <c r="E230" s="160"/>
      <c r="F230" s="160"/>
      <c r="G230" s="160"/>
      <c r="L230" s="160"/>
    </row>
    <row r="231" spans="5:12" s="507" customFormat="1" x14ac:dyDescent="0.2">
      <c r="E231" s="160"/>
      <c r="F231" s="160"/>
      <c r="G231" s="160"/>
      <c r="L231" s="160"/>
    </row>
    <row r="232" spans="5:12" s="507" customFormat="1" x14ac:dyDescent="0.2">
      <c r="E232" s="160"/>
      <c r="F232" s="160"/>
      <c r="G232" s="160"/>
      <c r="L232" s="160"/>
    </row>
    <row r="233" spans="5:12" s="507" customFormat="1" x14ac:dyDescent="0.2">
      <c r="E233" s="160"/>
      <c r="F233" s="160"/>
      <c r="G233" s="160"/>
      <c r="L233" s="160"/>
    </row>
    <row r="234" spans="5:12" s="507" customFormat="1" x14ac:dyDescent="0.2">
      <c r="E234" s="160"/>
      <c r="F234" s="160"/>
      <c r="G234" s="160"/>
      <c r="L234" s="160"/>
    </row>
    <row r="235" spans="5:12" s="507" customFormat="1" x14ac:dyDescent="0.2">
      <c r="E235" s="160"/>
      <c r="F235" s="160"/>
      <c r="G235" s="160"/>
      <c r="L235" s="160"/>
    </row>
    <row r="236" spans="5:12" s="507" customFormat="1" x14ac:dyDescent="0.2">
      <c r="E236" s="160"/>
      <c r="F236" s="160"/>
      <c r="G236" s="160"/>
      <c r="L236" s="160"/>
    </row>
    <row r="237" spans="5:12" s="507" customFormat="1" x14ac:dyDescent="0.2">
      <c r="E237" s="160"/>
      <c r="F237" s="160"/>
      <c r="G237" s="160"/>
      <c r="L237" s="160"/>
    </row>
    <row r="238" spans="5:12" s="507" customFormat="1" x14ac:dyDescent="0.2">
      <c r="E238" s="160"/>
      <c r="F238" s="160"/>
      <c r="G238" s="160"/>
      <c r="L238" s="160"/>
    </row>
    <row r="239" spans="5:12" s="507" customFormat="1" x14ac:dyDescent="0.2">
      <c r="E239" s="160"/>
      <c r="F239" s="160"/>
      <c r="G239" s="160"/>
      <c r="L239" s="160"/>
    </row>
    <row r="240" spans="5:12" s="507" customFormat="1" x14ac:dyDescent="0.2">
      <c r="E240" s="160"/>
      <c r="F240" s="160"/>
      <c r="G240" s="160"/>
      <c r="L240" s="160"/>
    </row>
    <row r="241" spans="5:12" s="507" customFormat="1" x14ac:dyDescent="0.2">
      <c r="E241" s="160"/>
      <c r="F241" s="160"/>
      <c r="G241" s="160"/>
      <c r="L241" s="160"/>
    </row>
    <row r="242" spans="5:12" s="507" customFormat="1" x14ac:dyDescent="0.2">
      <c r="E242" s="160"/>
      <c r="F242" s="160"/>
      <c r="G242" s="160"/>
      <c r="L242" s="160"/>
    </row>
    <row r="243" spans="5:12" s="507" customFormat="1" x14ac:dyDescent="0.2">
      <c r="E243" s="160"/>
      <c r="F243" s="160"/>
      <c r="G243" s="160"/>
      <c r="L243" s="160"/>
    </row>
    <row r="244" spans="5:12" s="507" customFormat="1" x14ac:dyDescent="0.2">
      <c r="E244" s="160"/>
      <c r="F244" s="160"/>
      <c r="G244" s="160"/>
      <c r="L244" s="160"/>
    </row>
  </sheetData>
  <sheetProtection password="E421" sheet="1" objects="1" scenarios="1"/>
  <mergeCells count="251">
    <mergeCell ref="B9:C9"/>
    <mergeCell ref="D9:G9"/>
    <mergeCell ref="H9:K9"/>
    <mergeCell ref="B10:C10"/>
    <mergeCell ref="D10:G10"/>
    <mergeCell ref="H10:K10"/>
    <mergeCell ref="B1:D1"/>
    <mergeCell ref="E1:K1"/>
    <mergeCell ref="B3:K3"/>
    <mergeCell ref="B4:K4"/>
    <mergeCell ref="B8:C8"/>
    <mergeCell ref="D8:G8"/>
    <mergeCell ref="H8:K8"/>
    <mergeCell ref="B14:C14"/>
    <mergeCell ref="D14:G14"/>
    <mergeCell ref="H14:K14"/>
    <mergeCell ref="B15:C15"/>
    <mergeCell ref="D15:G15"/>
    <mergeCell ref="H15:K15"/>
    <mergeCell ref="B11:C11"/>
    <mergeCell ref="D11:K11"/>
    <mergeCell ref="B12:C12"/>
    <mergeCell ref="D12:K12"/>
    <mergeCell ref="B13:C13"/>
    <mergeCell ref="D13:K13"/>
    <mergeCell ref="B25:C25"/>
    <mergeCell ref="B26:C26"/>
    <mergeCell ref="D27:G27"/>
    <mergeCell ref="H27:K27"/>
    <mergeCell ref="B28:C28"/>
    <mergeCell ref="D28:G28"/>
    <mergeCell ref="H28:K28"/>
    <mergeCell ref="B16:C16"/>
    <mergeCell ref="L16:L24"/>
    <mergeCell ref="B17:C17"/>
    <mergeCell ref="B18:C18"/>
    <mergeCell ref="B19:C19"/>
    <mergeCell ref="B20:C20"/>
    <mergeCell ref="B21:C21"/>
    <mergeCell ref="B22:C22"/>
    <mergeCell ref="B23:C23"/>
    <mergeCell ref="B24:C24"/>
    <mergeCell ref="H31:K31"/>
    <mergeCell ref="B32:C32"/>
    <mergeCell ref="D32:G32"/>
    <mergeCell ref="H32:K32"/>
    <mergeCell ref="B33:C33"/>
    <mergeCell ref="D33:G33"/>
    <mergeCell ref="H33:K33"/>
    <mergeCell ref="L28:L29"/>
    <mergeCell ref="B29:C29"/>
    <mergeCell ref="D29:G29"/>
    <mergeCell ref="H29:K29"/>
    <mergeCell ref="B30:C30"/>
    <mergeCell ref="D30:G30"/>
    <mergeCell ref="H30:K30"/>
    <mergeCell ref="L30:L33"/>
    <mergeCell ref="B31:C31"/>
    <mergeCell ref="D31:G31"/>
    <mergeCell ref="B37:C37"/>
    <mergeCell ref="D37:G37"/>
    <mergeCell ref="H37:K37"/>
    <mergeCell ref="B38:C38"/>
    <mergeCell ref="D38:G38"/>
    <mergeCell ref="H38:K38"/>
    <mergeCell ref="B34:C34"/>
    <mergeCell ref="B35:C35"/>
    <mergeCell ref="D35:G35"/>
    <mergeCell ref="H35:K35"/>
    <mergeCell ref="B36:C36"/>
    <mergeCell ref="D36:G36"/>
    <mergeCell ref="H36:K36"/>
    <mergeCell ref="B41:C41"/>
    <mergeCell ref="D41:G41"/>
    <mergeCell ref="H41:K41"/>
    <mergeCell ref="B42:C42"/>
    <mergeCell ref="D42:G42"/>
    <mergeCell ref="H42:K42"/>
    <mergeCell ref="L38:L39"/>
    <mergeCell ref="B39:C39"/>
    <mergeCell ref="D39:G39"/>
    <mergeCell ref="H39:K39"/>
    <mergeCell ref="B40:C40"/>
    <mergeCell ref="D40:G40"/>
    <mergeCell ref="H40:K40"/>
    <mergeCell ref="B45:C45"/>
    <mergeCell ref="D45:G45"/>
    <mergeCell ref="H45:K45"/>
    <mergeCell ref="B46:C46"/>
    <mergeCell ref="D46:G46"/>
    <mergeCell ref="H46:K46"/>
    <mergeCell ref="B43:C43"/>
    <mergeCell ref="D43:G43"/>
    <mergeCell ref="H43:K43"/>
    <mergeCell ref="B44:C44"/>
    <mergeCell ref="D44:G44"/>
    <mergeCell ref="H44:K44"/>
    <mergeCell ref="B50:C50"/>
    <mergeCell ref="D50:G50"/>
    <mergeCell ref="H50:K50"/>
    <mergeCell ref="B51:C51"/>
    <mergeCell ref="D51:G51"/>
    <mergeCell ref="H51:K51"/>
    <mergeCell ref="L46:L49"/>
    <mergeCell ref="B47:C47"/>
    <mergeCell ref="D47:G47"/>
    <mergeCell ref="H47:K47"/>
    <mergeCell ref="B48:C48"/>
    <mergeCell ref="D48:G48"/>
    <mergeCell ref="H48:K48"/>
    <mergeCell ref="B49:C49"/>
    <mergeCell ref="D49:G49"/>
    <mergeCell ref="H49:K49"/>
    <mergeCell ref="B54:C54"/>
    <mergeCell ref="D54:G54"/>
    <mergeCell ref="H54:K54"/>
    <mergeCell ref="B55:C55"/>
    <mergeCell ref="D55:G55"/>
    <mergeCell ref="H55:K55"/>
    <mergeCell ref="B52:C52"/>
    <mergeCell ref="D52:G52"/>
    <mergeCell ref="H52:K52"/>
    <mergeCell ref="B53:C53"/>
    <mergeCell ref="D53:G53"/>
    <mergeCell ref="H53:K53"/>
    <mergeCell ref="B56:C56"/>
    <mergeCell ref="D56:G56"/>
    <mergeCell ref="H56:K56"/>
    <mergeCell ref="L56:L59"/>
    <mergeCell ref="B57:C57"/>
    <mergeCell ref="D57:G57"/>
    <mergeCell ref="H57:K57"/>
    <mergeCell ref="B58:C58"/>
    <mergeCell ref="D58:G58"/>
    <mergeCell ref="H58:K58"/>
    <mergeCell ref="B61:C61"/>
    <mergeCell ref="D61:G61"/>
    <mergeCell ref="H61:K61"/>
    <mergeCell ref="B62:C62"/>
    <mergeCell ref="D62:G62"/>
    <mergeCell ref="H62:K62"/>
    <mergeCell ref="B59:C59"/>
    <mergeCell ref="D59:G59"/>
    <mergeCell ref="H59:K59"/>
    <mergeCell ref="B60:C60"/>
    <mergeCell ref="D60:G60"/>
    <mergeCell ref="H60:K60"/>
    <mergeCell ref="B65:C65"/>
    <mergeCell ref="D65:G65"/>
    <mergeCell ref="H65:K65"/>
    <mergeCell ref="B66:C66"/>
    <mergeCell ref="D66:G66"/>
    <mergeCell ref="H66:K66"/>
    <mergeCell ref="B63:C63"/>
    <mergeCell ref="D63:G63"/>
    <mergeCell ref="H63:K63"/>
    <mergeCell ref="B64:C64"/>
    <mergeCell ref="D64:G64"/>
    <mergeCell ref="H64:K64"/>
    <mergeCell ref="L66:L69"/>
    <mergeCell ref="B67:C67"/>
    <mergeCell ref="D67:G67"/>
    <mergeCell ref="H67:K67"/>
    <mergeCell ref="B68:C68"/>
    <mergeCell ref="D68:G68"/>
    <mergeCell ref="H68:K68"/>
    <mergeCell ref="B69:C69"/>
    <mergeCell ref="D69:G69"/>
    <mergeCell ref="H69:K69"/>
    <mergeCell ref="B73:C73"/>
    <mergeCell ref="D73:G73"/>
    <mergeCell ref="H73:K73"/>
    <mergeCell ref="B74:C74"/>
    <mergeCell ref="D74:G74"/>
    <mergeCell ref="H74:K74"/>
    <mergeCell ref="B70:C70"/>
    <mergeCell ref="D70:G70"/>
    <mergeCell ref="H70:K70"/>
    <mergeCell ref="D71:G71"/>
    <mergeCell ref="H71:K71"/>
    <mergeCell ref="B72:C72"/>
    <mergeCell ref="D72:G72"/>
    <mergeCell ref="H72:K72"/>
    <mergeCell ref="B79:C79"/>
    <mergeCell ref="D79:K79"/>
    <mergeCell ref="B80:C80"/>
    <mergeCell ref="D80:K80"/>
    <mergeCell ref="B81:C81"/>
    <mergeCell ref="B82:C82"/>
    <mergeCell ref="D82:G82"/>
    <mergeCell ref="H82:K82"/>
    <mergeCell ref="B75:C75"/>
    <mergeCell ref="B76:C76"/>
    <mergeCell ref="D76:K76"/>
    <mergeCell ref="B77:C77"/>
    <mergeCell ref="D77:K77"/>
    <mergeCell ref="B78:C78"/>
    <mergeCell ref="B86:C86"/>
    <mergeCell ref="B87:C87"/>
    <mergeCell ref="D87:G87"/>
    <mergeCell ref="H87:K87"/>
    <mergeCell ref="B88:C88"/>
    <mergeCell ref="D88:G88"/>
    <mergeCell ref="H88:K88"/>
    <mergeCell ref="B83:C83"/>
    <mergeCell ref="D83:G83"/>
    <mergeCell ref="H83:K83"/>
    <mergeCell ref="B84:C84"/>
    <mergeCell ref="D84:K84"/>
    <mergeCell ref="B85:C85"/>
    <mergeCell ref="D85:G85"/>
    <mergeCell ref="H85:K85"/>
    <mergeCell ref="B92:C92"/>
    <mergeCell ref="D92:G92"/>
    <mergeCell ref="H92:K92"/>
    <mergeCell ref="B93:C93"/>
    <mergeCell ref="D93:G93"/>
    <mergeCell ref="H93:K93"/>
    <mergeCell ref="B89:C89"/>
    <mergeCell ref="D89:G89"/>
    <mergeCell ref="H89:K89"/>
    <mergeCell ref="B90:C90"/>
    <mergeCell ref="B91:C91"/>
    <mergeCell ref="D91:G91"/>
    <mergeCell ref="H91:K91"/>
    <mergeCell ref="B115:C115"/>
    <mergeCell ref="B116:C116"/>
    <mergeCell ref="E122:N122"/>
    <mergeCell ref="E130:N130"/>
    <mergeCell ref="J139:M140"/>
    <mergeCell ref="B140:G141"/>
    <mergeCell ref="D94:K94"/>
    <mergeCell ref="B96:L96"/>
    <mergeCell ref="B98:I98"/>
    <mergeCell ref="E109:F109"/>
    <mergeCell ref="B112:C113"/>
    <mergeCell ref="E112:N112"/>
    <mergeCell ref="E113:N113"/>
    <mergeCell ref="B198:K199"/>
    <mergeCell ref="B178:E178"/>
    <mergeCell ref="B179:E179"/>
    <mergeCell ref="B180:E180"/>
    <mergeCell ref="B181:E181"/>
    <mergeCell ref="B195:K196"/>
    <mergeCell ref="B197:K197"/>
    <mergeCell ref="B147:G149"/>
    <mergeCell ref="I149:N151"/>
    <mergeCell ref="B163:F163"/>
    <mergeCell ref="B173:E174"/>
    <mergeCell ref="B176:E176"/>
    <mergeCell ref="B177:E177"/>
  </mergeCells>
  <conditionalFormatting sqref="H88 H81 D81 D76 D83:K84 E1:K1 D46:K49 D56:K59 D66:K69 H91:K92 D32:K33 D79:K79">
    <cfRule type="cellIs" dxfId="395" priority="19" operator="lessThan">
      <formula>0.00001</formula>
    </cfRule>
  </conditionalFormatting>
  <conditionalFormatting sqref="I94:I97 F123:K129 F99:F108 D142:G146 B93 G99:I111 J94:K111 F110:F111 F114:K121 D150:F162 H131:H195 G150:G195 F131:G139 D99:E139 D81:D92 D93:H97 E81:H83 I131:K137 B94:C94 D39:K39 D72:H78 L77 D33:K33 I73:K78 I81:K82 E92:L92 E85:K91 I93:K93 D164:F195 I160:K195">
    <cfRule type="containsErrors" dxfId="394" priority="12">
      <formula>ISERROR(B33)</formula>
    </cfRule>
  </conditionalFormatting>
  <conditionalFormatting sqref="H81 D81 D83:K84 D11:K13 D79:K79">
    <cfRule type="cellIs" dxfId="393" priority="17" operator="lessThan">
      <formula>0.0001</formula>
    </cfRule>
  </conditionalFormatting>
  <conditionalFormatting sqref="H88 H81 D81 D83:K84 D67:K69 D57:K59 H91:K92 D47:K49 D79:K79">
    <cfRule type="cellIs" priority="16" operator="lessThan">
      <formula>0.00001</formula>
    </cfRule>
  </conditionalFormatting>
  <conditionalFormatting sqref="H88 D11:K13 H91:K92">
    <cfRule type="cellIs" dxfId="392" priority="15" operator="lessThan">
      <formula>0.000001</formula>
    </cfRule>
  </conditionalFormatting>
  <conditionalFormatting sqref="D38:K39">
    <cfRule type="cellIs" dxfId="391" priority="14" operator="lessThan">
      <formula>0.00001</formula>
    </cfRule>
  </conditionalFormatting>
  <conditionalFormatting sqref="L92 L77">
    <cfRule type="cellIs" dxfId="390" priority="13" operator="greaterThan">
      <formula>$G$35</formula>
    </cfRule>
  </conditionalFormatting>
  <conditionalFormatting sqref="H85:K85">
    <cfRule type="cellIs" dxfId="389" priority="18" operator="greaterThan">
      <formula>$D$85</formula>
    </cfRule>
  </conditionalFormatting>
  <conditionalFormatting sqref="D80:K80">
    <cfRule type="cellIs" dxfId="388" priority="9" operator="lessThan">
      <formula>0.00001</formula>
    </cfRule>
  </conditionalFormatting>
  <conditionalFormatting sqref="D80:K80">
    <cfRule type="cellIs" dxfId="387" priority="8" operator="lessThan">
      <formula>0.0001</formula>
    </cfRule>
  </conditionalFormatting>
  <conditionalFormatting sqref="D80:K80">
    <cfRule type="cellIs" priority="7" operator="lessThan">
      <formula>0.00001</formula>
    </cfRule>
  </conditionalFormatting>
  <conditionalFormatting sqref="D80:K80">
    <cfRule type="cellIs" dxfId="386" priority="6" operator="lessThan">
      <formula>0.00001</formula>
    </cfRule>
  </conditionalFormatting>
  <conditionalFormatting sqref="D80:K80">
    <cfRule type="cellIs" dxfId="385" priority="5" operator="lessThan">
      <formula>0.0001</formula>
    </cfRule>
  </conditionalFormatting>
  <conditionalFormatting sqref="D80:K80">
    <cfRule type="cellIs" priority="4" operator="lessThan">
      <formula>0.00001</formula>
    </cfRule>
  </conditionalFormatting>
  <conditionalFormatting sqref="D80:K80">
    <cfRule type="cellIs" dxfId="384" priority="3" operator="lessThan">
      <formula>0.00001</formula>
    </cfRule>
  </conditionalFormatting>
  <conditionalFormatting sqref="D80:K80">
    <cfRule type="cellIs" dxfId="383" priority="2" operator="lessThan">
      <formula>0.0001</formula>
    </cfRule>
  </conditionalFormatting>
  <conditionalFormatting sqref="D80:K80">
    <cfRule type="cellIs" priority="1" operator="lessThan">
      <formula>0.00001</formula>
    </cfRule>
  </conditionalFormatting>
  <dataValidations count="3">
    <dataValidation type="list" allowBlank="1" showInputMessage="1" showErrorMessage="1" sqref="D45:K45 D55:K55 D65:K65" xr:uid="{00000000-0002-0000-0A00-000000000000}">
      <formula1>$B$151:$B$156</formula1>
    </dataValidation>
    <dataValidation type="list" allowBlank="1" showInputMessage="1" showErrorMessage="1" sqref="D37:K37" xr:uid="{00000000-0002-0000-0A00-000001000000}">
      <formula1>$B$159:$B$160</formula1>
    </dataValidation>
    <dataValidation type="list" allowBlank="1" showInputMessage="1" showErrorMessage="1" sqref="D31 H31" xr:uid="{00000000-0002-0000-0A00-000002000000}">
      <formula1>$B$143:$B$145</formula1>
    </dataValidation>
  </dataValidations>
  <hyperlinks>
    <hyperlink ref="L12" location="PPT" display="From Site Data" xr:uid="{00000000-0004-0000-0A00-000000000000}"/>
    <hyperlink ref="L38" location="VELOCITY" display="See Shallow Flow Calculations" xr:uid="{00000000-0004-0000-0A00-000001000000}"/>
    <hyperlink ref="L46" location="mannings_channel" display="See Channel Flow" xr:uid="{00000000-0004-0000-0A00-000002000000}"/>
    <hyperlink ref="L38:L39" location="SHALLOW" display="See Shallow Flow Calculations" xr:uid="{00000000-0004-0000-0A00-000003000000}"/>
    <hyperlink ref="L46:L49" location="CHANNEL" display="See Open Channel Flow" xr:uid="{00000000-0004-0000-0A00-000004000000}"/>
    <hyperlink ref="L56" location="mannings_channel" display="See Channel Flow" xr:uid="{00000000-0004-0000-0A00-000005000000}"/>
    <hyperlink ref="L56:L59" location="CHANNEL" display="See Open Channel Flow" xr:uid="{00000000-0004-0000-0A00-000006000000}"/>
    <hyperlink ref="L66" location="mannings_channel" display="See Channel Flow" xr:uid="{00000000-0004-0000-0A00-000007000000}"/>
    <hyperlink ref="L66:L69" location="CHANNEL" display="See Open Channel Flow" xr:uid="{00000000-0004-0000-0A00-000008000000}"/>
    <hyperlink ref="L30:L33" location="SHEET" display="See Sheet Flow Calculations" xr:uid="{00000000-0004-0000-0A00-000009000000}"/>
    <hyperlink ref="L74" location="WCN" display="See Weighted Curve Number" xr:uid="{00000000-0004-0000-0A00-00000A000000}"/>
    <hyperlink ref="L70" location="Tc" display="See Tc" xr:uid="{00000000-0004-0000-0A00-00000B000000}"/>
    <hyperlink ref="L16:L24" location="WCN" display="See Weighted Curve Number" xr:uid="{00000000-0004-0000-0A00-00000C000000}"/>
    <hyperlink ref="L82" location="SCS" display="See SCS Runoff Method" xr:uid="{00000000-0004-0000-0A00-00000D000000}"/>
    <hyperlink ref="L79" location="hd" display="See Discrete Runoff Method" xr:uid="{00000000-0004-0000-0A00-00000E000000}"/>
    <hyperlink ref="L87" location="SCS" display="See SCS Runoff Method" xr:uid="{00000000-0004-0000-0A00-00000F000000}"/>
    <hyperlink ref="L91" location="SCS" display="See SCS Runoff Method" xr:uid="{00000000-0004-0000-0A00-000010000000}"/>
    <hyperlink ref="L85" location="PEAK" display="See Peak Flow Calculations" xr:uid="{00000000-0004-0000-0A00-000011000000}"/>
    <hyperlink ref="L89" location="PEAK" display="See Peak Flow Calculations" xr:uid="{00000000-0004-0000-0A00-000012000000}"/>
    <hyperlink ref="L76" location="Disconnected" display="See Disconnected Impervious Calculation" xr:uid="{00000000-0004-0000-0A00-000013000000}"/>
    <hyperlink ref="B195:K196" location="'DA2'!A1" display="CLICK TO ADD ANOTHER DRAINAGE AREA" xr:uid="{00000000-0004-0000-0A00-000014000000}"/>
    <hyperlink ref="B198:K199" location="'SITE SUMMARY'!A1" display="CONTINUE TO SITE SUMMARY" xr:uid="{00000000-0004-0000-0A00-000015000000}"/>
    <hyperlink ref="L80" location="hd" display="See Discrete Runoff Method" xr:uid="{00000000-0004-0000-0A00-000016000000}"/>
  </hyperlinks>
  <printOptions horizontalCentered="1"/>
  <pageMargins left="0.7" right="0.7" top="0.75" bottom="0.75" header="0.3" footer="0.3"/>
  <pageSetup scale="54" fitToHeight="2" orientation="portrait" copies="5" r:id="rId1"/>
  <headerFooter>
    <oddFooter>&amp;A&amp;RPage &amp;P</oddFooter>
  </headerFooter>
  <rowBreaks count="1" manualBreakCount="1">
    <brk id="49" min="1" max="10" man="1"/>
  </rowBreak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AA244"/>
  <sheetViews>
    <sheetView showRowColHeaders="0" zoomScale="85" zoomScaleNormal="85" workbookViewId="0">
      <selection activeCell="D9" sqref="D9:G9"/>
    </sheetView>
  </sheetViews>
  <sheetFormatPr defaultRowHeight="15" x14ac:dyDescent="0.2"/>
  <cols>
    <col min="1" max="1" width="3.77734375" style="507" customWidth="1"/>
    <col min="2" max="2" width="25.6640625" style="161" customWidth="1"/>
    <col min="3" max="3" width="17.33203125" style="161" customWidth="1"/>
    <col min="4" max="4" width="8.6640625" style="161" customWidth="1"/>
    <col min="5" max="7" width="8.6640625" style="223" customWidth="1"/>
    <col min="8" max="11" width="8.6640625" style="161" customWidth="1"/>
    <col min="12" max="12" width="37.109375" style="160" bestFit="1" customWidth="1"/>
    <col min="13" max="27" width="8.88671875" style="507"/>
    <col min="28" max="16384" width="8.88671875" style="161"/>
  </cols>
  <sheetData>
    <row r="1" spans="2:12" ht="16.5" thickBot="1" x14ac:dyDescent="0.3">
      <c r="B1" s="787" t="s">
        <v>31</v>
      </c>
      <c r="C1" s="787"/>
      <c r="D1" s="787"/>
      <c r="E1" s="788">
        <f>'SITE DATA'!F9</f>
        <v>0</v>
      </c>
      <c r="F1" s="789"/>
      <c r="G1" s="789"/>
      <c r="H1" s="789"/>
      <c r="I1" s="789"/>
      <c r="J1" s="789"/>
      <c r="K1" s="790"/>
    </row>
    <row r="2" spans="2:12" x14ac:dyDescent="0.2">
      <c r="B2" s="507"/>
      <c r="C2" s="507"/>
      <c r="D2" s="507"/>
      <c r="E2" s="160"/>
      <c r="F2" s="160"/>
      <c r="G2" s="160"/>
      <c r="H2" s="507"/>
      <c r="I2" s="507"/>
      <c r="J2" s="507"/>
      <c r="K2" s="507"/>
    </row>
    <row r="3" spans="2:12" ht="18" x14ac:dyDescent="0.25">
      <c r="B3" s="797" t="s">
        <v>394</v>
      </c>
      <c r="C3" s="797"/>
      <c r="D3" s="797"/>
      <c r="E3" s="797"/>
      <c r="F3" s="797"/>
      <c r="G3" s="797"/>
      <c r="H3" s="797"/>
      <c r="I3" s="797"/>
      <c r="J3" s="797"/>
      <c r="K3" s="797"/>
      <c r="L3" s="162"/>
    </row>
    <row r="4" spans="2:12" ht="18" x14ac:dyDescent="0.25">
      <c r="B4" s="797" t="s">
        <v>8</v>
      </c>
      <c r="C4" s="797"/>
      <c r="D4" s="797"/>
      <c r="E4" s="797"/>
      <c r="F4" s="797"/>
      <c r="G4" s="797"/>
      <c r="H4" s="797"/>
      <c r="I4" s="797"/>
      <c r="J4" s="797"/>
      <c r="K4" s="797"/>
      <c r="L4" s="162"/>
    </row>
    <row r="5" spans="2:12" x14ac:dyDescent="0.2">
      <c r="B5" s="507"/>
      <c r="C5" s="507"/>
      <c r="D5" s="507"/>
      <c r="E5" s="160"/>
      <c r="F5" s="160"/>
      <c r="G5" s="160"/>
      <c r="H5" s="507"/>
      <c r="I5" s="507"/>
      <c r="J5" s="507"/>
      <c r="K5" s="507"/>
    </row>
    <row r="6" spans="2:12" x14ac:dyDescent="0.2">
      <c r="B6" s="507"/>
      <c r="C6" s="507"/>
      <c r="D6" s="507"/>
      <c r="E6" s="160"/>
      <c r="F6" s="160"/>
      <c r="G6" s="160"/>
      <c r="H6" s="507"/>
      <c r="I6" s="507"/>
      <c r="J6" s="507"/>
      <c r="K6" s="507"/>
    </row>
    <row r="7" spans="2:12" ht="15.75" thickBot="1" x14ac:dyDescent="0.25">
      <c r="B7" s="507"/>
      <c r="C7" s="507"/>
      <c r="D7" s="507"/>
      <c r="E7" s="160"/>
      <c r="F7" s="160"/>
      <c r="G7" s="160"/>
      <c r="H7" s="507"/>
      <c r="I7" s="507"/>
      <c r="J7" s="507"/>
      <c r="K7" s="507"/>
    </row>
    <row r="8" spans="2:12" ht="24.95" customHeight="1" thickTop="1" thickBot="1" x14ac:dyDescent="0.3">
      <c r="B8" s="801" t="s">
        <v>263</v>
      </c>
      <c r="C8" s="802"/>
      <c r="D8" s="798" t="s">
        <v>9</v>
      </c>
      <c r="E8" s="798"/>
      <c r="F8" s="798"/>
      <c r="G8" s="798"/>
      <c r="H8" s="798" t="s">
        <v>30</v>
      </c>
      <c r="I8" s="798"/>
      <c r="J8" s="798"/>
      <c r="K8" s="798"/>
      <c r="L8" s="238" t="s">
        <v>319</v>
      </c>
    </row>
    <row r="9" spans="2:12" ht="24.95" customHeight="1" thickTop="1" x14ac:dyDescent="0.2">
      <c r="B9" s="754" t="s">
        <v>92</v>
      </c>
      <c r="C9" s="791"/>
      <c r="D9" s="799"/>
      <c r="E9" s="725"/>
      <c r="F9" s="725"/>
      <c r="G9" s="800"/>
      <c r="H9" s="774"/>
      <c r="I9" s="775"/>
      <c r="J9" s="775"/>
      <c r="K9" s="776"/>
      <c r="L9" s="163" t="s">
        <v>486</v>
      </c>
    </row>
    <row r="10" spans="2:12" ht="24.95" customHeight="1" x14ac:dyDescent="0.2">
      <c r="B10" s="754" t="s">
        <v>93</v>
      </c>
      <c r="C10" s="791"/>
      <c r="D10" s="799"/>
      <c r="E10" s="725"/>
      <c r="F10" s="725"/>
      <c r="G10" s="800"/>
      <c r="H10" s="799"/>
      <c r="I10" s="725"/>
      <c r="J10" s="725"/>
      <c r="K10" s="800"/>
      <c r="L10" s="163"/>
    </row>
    <row r="11" spans="2:12" ht="24.95" customHeight="1" x14ac:dyDescent="0.2">
      <c r="B11" s="754" t="s">
        <v>226</v>
      </c>
      <c r="C11" s="791"/>
      <c r="D11" s="803">
        <f>'SITE DATA'!$F$26</f>
        <v>0</v>
      </c>
      <c r="E11" s="683"/>
      <c r="F11" s="683"/>
      <c r="G11" s="683"/>
      <c r="H11" s="683"/>
      <c r="I11" s="683"/>
      <c r="J11" s="683"/>
      <c r="K11" s="804"/>
      <c r="L11" s="566"/>
    </row>
    <row r="12" spans="2:12" ht="24.95" customHeight="1" x14ac:dyDescent="0.2">
      <c r="B12" s="754" t="s">
        <v>329</v>
      </c>
      <c r="C12" s="791"/>
      <c r="D12" s="803">
        <f>'SITE DATA'!$F$27</f>
        <v>0</v>
      </c>
      <c r="E12" s="683"/>
      <c r="F12" s="683"/>
      <c r="G12" s="683"/>
      <c r="H12" s="683"/>
      <c r="I12" s="683"/>
      <c r="J12" s="683"/>
      <c r="K12" s="804"/>
      <c r="L12" s="566" t="s">
        <v>266</v>
      </c>
    </row>
    <row r="13" spans="2:12" ht="24.95" customHeight="1" x14ac:dyDescent="0.2">
      <c r="B13" s="754" t="s">
        <v>375</v>
      </c>
      <c r="C13" s="791"/>
      <c r="D13" s="803">
        <f>'SITE DATA'!$F$28</f>
        <v>0</v>
      </c>
      <c r="E13" s="683"/>
      <c r="F13" s="683"/>
      <c r="G13" s="683"/>
      <c r="H13" s="683"/>
      <c r="I13" s="683"/>
      <c r="J13" s="683"/>
      <c r="K13" s="804"/>
      <c r="L13" s="566"/>
    </row>
    <row r="14" spans="2:12" ht="24.95" customHeight="1" x14ac:dyDescent="0.2">
      <c r="B14" s="754" t="s">
        <v>307</v>
      </c>
      <c r="C14" s="791"/>
      <c r="D14" s="792"/>
      <c r="E14" s="793"/>
      <c r="F14" s="793"/>
      <c r="G14" s="793"/>
      <c r="H14" s="793"/>
      <c r="I14" s="793"/>
      <c r="J14" s="793"/>
      <c r="K14" s="793"/>
      <c r="L14" s="163"/>
    </row>
    <row r="15" spans="2:12" ht="24.95" customHeight="1" x14ac:dyDescent="0.2">
      <c r="B15" s="754" t="s">
        <v>306</v>
      </c>
      <c r="C15" s="791"/>
      <c r="D15" s="793"/>
      <c r="E15" s="793"/>
      <c r="F15" s="793"/>
      <c r="G15" s="793"/>
      <c r="H15" s="793"/>
      <c r="I15" s="793"/>
      <c r="J15" s="793"/>
      <c r="K15" s="793"/>
      <c r="L15" s="163"/>
    </row>
    <row r="16" spans="2:12" ht="24.95" customHeight="1" x14ac:dyDescent="0.2">
      <c r="B16" s="784" t="s">
        <v>487</v>
      </c>
      <c r="C16" s="785"/>
      <c r="D16" s="429" t="s">
        <v>15</v>
      </c>
      <c r="E16" s="430" t="s">
        <v>16</v>
      </c>
      <c r="F16" s="430" t="s">
        <v>18</v>
      </c>
      <c r="G16" s="431" t="s">
        <v>17</v>
      </c>
      <c r="H16" s="432" t="s">
        <v>15</v>
      </c>
      <c r="I16" s="430" t="s">
        <v>16</v>
      </c>
      <c r="J16" s="430" t="s">
        <v>18</v>
      </c>
      <c r="K16" s="431" t="s">
        <v>17</v>
      </c>
      <c r="L16" s="766" t="s">
        <v>177</v>
      </c>
    </row>
    <row r="17" spans="2:12" ht="24.95" customHeight="1" x14ac:dyDescent="0.2">
      <c r="B17" s="754" t="s">
        <v>12</v>
      </c>
      <c r="C17" s="791"/>
      <c r="D17" s="428"/>
      <c r="E17" s="416"/>
      <c r="F17" s="416"/>
      <c r="G17" s="427"/>
      <c r="H17" s="428"/>
      <c r="I17" s="416"/>
      <c r="J17" s="416"/>
      <c r="K17" s="427"/>
      <c r="L17" s="766"/>
    </row>
    <row r="18" spans="2:12" ht="24.95" customHeight="1" x14ac:dyDescent="0.2">
      <c r="B18" s="754" t="s">
        <v>253</v>
      </c>
      <c r="C18" s="791"/>
      <c r="D18" s="428"/>
      <c r="E18" s="416"/>
      <c r="F18" s="416"/>
      <c r="G18" s="427"/>
      <c r="H18" s="428"/>
      <c r="I18" s="416"/>
      <c r="J18" s="416"/>
      <c r="K18" s="427"/>
      <c r="L18" s="766"/>
    </row>
    <row r="19" spans="2:12" ht="24.95" customHeight="1" x14ac:dyDescent="0.2">
      <c r="B19" s="754" t="s">
        <v>260</v>
      </c>
      <c r="C19" s="791"/>
      <c r="D19" s="428"/>
      <c r="E19" s="416"/>
      <c r="F19" s="416"/>
      <c r="G19" s="427"/>
      <c r="H19" s="428"/>
      <c r="I19" s="416"/>
      <c r="J19" s="416"/>
      <c r="K19" s="427"/>
      <c r="L19" s="766"/>
    </row>
    <row r="20" spans="2:12" ht="24.95" customHeight="1" x14ac:dyDescent="0.2">
      <c r="B20" s="754" t="s">
        <v>259</v>
      </c>
      <c r="C20" s="791"/>
      <c r="D20" s="428"/>
      <c r="E20" s="416"/>
      <c r="F20" s="416"/>
      <c r="G20" s="427"/>
      <c r="H20" s="428"/>
      <c r="I20" s="416"/>
      <c r="J20" s="416"/>
      <c r="K20" s="427"/>
      <c r="L20" s="766"/>
    </row>
    <row r="21" spans="2:12" ht="24.95" customHeight="1" x14ac:dyDescent="0.2">
      <c r="B21" s="754" t="s">
        <v>255</v>
      </c>
      <c r="C21" s="791"/>
      <c r="D21" s="428"/>
      <c r="E21" s="416"/>
      <c r="F21" s="416"/>
      <c r="G21" s="427"/>
      <c r="H21" s="428"/>
      <c r="I21" s="416"/>
      <c r="J21" s="416"/>
      <c r="K21" s="427"/>
      <c r="L21" s="766"/>
    </row>
    <row r="22" spans="2:12" ht="24.95" customHeight="1" x14ac:dyDescent="0.2">
      <c r="B22" s="754" t="s">
        <v>262</v>
      </c>
      <c r="C22" s="791"/>
      <c r="D22" s="428"/>
      <c r="E22" s="416"/>
      <c r="F22" s="416"/>
      <c r="G22" s="427"/>
      <c r="H22" s="428"/>
      <c r="I22" s="416"/>
      <c r="J22" s="416"/>
      <c r="K22" s="427"/>
      <c r="L22" s="766"/>
    </row>
    <row r="23" spans="2:12" ht="24.95" customHeight="1" x14ac:dyDescent="0.2">
      <c r="B23" s="754" t="s">
        <v>261</v>
      </c>
      <c r="C23" s="791"/>
      <c r="D23" s="428"/>
      <c r="E23" s="416"/>
      <c r="F23" s="416"/>
      <c r="G23" s="427"/>
      <c r="H23" s="428"/>
      <c r="I23" s="416"/>
      <c r="J23" s="416"/>
      <c r="K23" s="427"/>
      <c r="L23" s="766"/>
    </row>
    <row r="24" spans="2:12" ht="24.95" customHeight="1" x14ac:dyDescent="0.2">
      <c r="B24" s="754" t="s">
        <v>245</v>
      </c>
      <c r="C24" s="791"/>
      <c r="D24" s="428"/>
      <c r="E24" s="416"/>
      <c r="F24" s="416"/>
      <c r="G24" s="427"/>
      <c r="H24" s="428"/>
      <c r="I24" s="416"/>
      <c r="J24" s="416"/>
      <c r="K24" s="427"/>
      <c r="L24" s="766"/>
    </row>
    <row r="25" spans="2:12" ht="24.95" customHeight="1" x14ac:dyDescent="0.25">
      <c r="B25" s="754" t="s">
        <v>369</v>
      </c>
      <c r="C25" s="791"/>
      <c r="D25" s="428"/>
      <c r="E25" s="416"/>
      <c r="F25" s="416"/>
      <c r="G25" s="427"/>
      <c r="H25" s="428"/>
      <c r="I25" s="416"/>
      <c r="J25" s="416"/>
      <c r="K25" s="427"/>
      <c r="L25" s="417"/>
    </row>
    <row r="26" spans="2:12" ht="24.95" customHeight="1" thickBot="1" x14ac:dyDescent="0.3">
      <c r="B26" s="830" t="s">
        <v>368</v>
      </c>
      <c r="C26" s="831"/>
      <c r="D26" s="433"/>
      <c r="E26" s="434"/>
      <c r="F26" s="434"/>
      <c r="G26" s="435"/>
      <c r="H26" s="433"/>
      <c r="I26" s="434"/>
      <c r="J26" s="434"/>
      <c r="K26" s="435"/>
      <c r="L26" s="417" t="str">
        <f>IF(OR(SUM($H$17:$K$26)&gt;$H$10,SUM($H$17:$K$26)&lt;$H$10),"LAND USE MUST MATCH SITE ACREAGE","")</f>
        <v/>
      </c>
    </row>
    <row r="27" spans="2:12" ht="24.95" customHeight="1" thickTop="1" thickBot="1" x14ac:dyDescent="0.25">
      <c r="B27" s="443" t="s">
        <v>264</v>
      </c>
      <c r="C27" s="444"/>
      <c r="D27" s="805" t="s">
        <v>56</v>
      </c>
      <c r="E27" s="805"/>
      <c r="F27" s="805"/>
      <c r="G27" s="805"/>
      <c r="H27" s="805" t="s">
        <v>57</v>
      </c>
      <c r="I27" s="805"/>
      <c r="J27" s="805"/>
      <c r="K27" s="805"/>
      <c r="L27" s="418"/>
    </row>
    <row r="28" spans="2:12" ht="24.95" customHeight="1" thickTop="1" x14ac:dyDescent="0.2">
      <c r="B28" s="795" t="s">
        <v>404</v>
      </c>
      <c r="C28" s="796"/>
      <c r="D28" s="794"/>
      <c r="E28" s="794"/>
      <c r="F28" s="794"/>
      <c r="G28" s="794"/>
      <c r="H28" s="794"/>
      <c r="I28" s="794"/>
      <c r="J28" s="794"/>
      <c r="K28" s="794"/>
      <c r="L28" s="736"/>
    </row>
    <row r="29" spans="2:12" ht="24.95" customHeight="1" x14ac:dyDescent="0.2">
      <c r="B29" s="770" t="s">
        <v>87</v>
      </c>
      <c r="C29" s="771"/>
      <c r="D29" s="774"/>
      <c r="E29" s="775"/>
      <c r="F29" s="775"/>
      <c r="G29" s="776"/>
      <c r="H29" s="774"/>
      <c r="I29" s="775"/>
      <c r="J29" s="775"/>
      <c r="K29" s="776"/>
      <c r="L29" s="736"/>
    </row>
    <row r="30" spans="2:12" ht="24.95" customHeight="1" x14ac:dyDescent="0.2">
      <c r="B30" s="770" t="s">
        <v>88</v>
      </c>
      <c r="C30" s="771"/>
      <c r="D30" s="777"/>
      <c r="E30" s="778"/>
      <c r="F30" s="778"/>
      <c r="G30" s="779"/>
      <c r="H30" s="777"/>
      <c r="I30" s="778"/>
      <c r="J30" s="778"/>
      <c r="K30" s="779"/>
      <c r="L30" s="766" t="s">
        <v>95</v>
      </c>
    </row>
    <row r="31" spans="2:12" ht="24.95" customHeight="1" x14ac:dyDescent="0.2">
      <c r="B31" s="770" t="s">
        <v>60</v>
      </c>
      <c r="C31" s="771"/>
      <c r="D31" s="774"/>
      <c r="E31" s="775"/>
      <c r="F31" s="775"/>
      <c r="G31" s="776"/>
      <c r="H31" s="774"/>
      <c r="I31" s="775"/>
      <c r="J31" s="775"/>
      <c r="K31" s="776"/>
      <c r="L31" s="766"/>
    </row>
    <row r="32" spans="2:12" ht="24.95" customHeight="1" x14ac:dyDescent="0.2">
      <c r="B32" s="781" t="s">
        <v>86</v>
      </c>
      <c r="C32" s="782"/>
      <c r="D32" s="769" t="str">
        <f>IF(D31=$B$143,$G$143,IF(D31=$B$144,$G$144,IF(D31=$B$145,$G$145,"")))</f>
        <v/>
      </c>
      <c r="E32" s="769"/>
      <c r="F32" s="769"/>
      <c r="G32" s="769"/>
      <c r="H32" s="769" t="str">
        <f>IF(H31=$B$143,$G$143,IF(H31=$B$144,$G$144,IF(H31=$B$145,$G$145,"")))</f>
        <v/>
      </c>
      <c r="I32" s="769"/>
      <c r="J32" s="769"/>
      <c r="K32" s="769"/>
      <c r="L32" s="766"/>
    </row>
    <row r="33" spans="2:12" ht="24.95" customHeight="1" x14ac:dyDescent="0.2">
      <c r="B33" s="770" t="s">
        <v>89</v>
      </c>
      <c r="C33" s="780"/>
      <c r="D33" s="769">
        <f>IF(D29&gt;0,(0.007*(D32*D29)^0.8)/(($D$11^0.5)*(D30^0.4)),0)</f>
        <v>0</v>
      </c>
      <c r="E33" s="769"/>
      <c r="F33" s="769"/>
      <c r="G33" s="769"/>
      <c r="H33" s="769">
        <f>IF(H29&gt;0,(0.007*(H32*H29)^0.8)/(($D$11^0.5)*(H30^0.4)),0)</f>
        <v>0</v>
      </c>
      <c r="I33" s="769"/>
      <c r="J33" s="769"/>
      <c r="K33" s="769"/>
      <c r="L33" s="766"/>
    </row>
    <row r="34" spans="2:12" ht="24.95" customHeight="1" x14ac:dyDescent="0.2">
      <c r="B34" s="795" t="s">
        <v>405</v>
      </c>
      <c r="C34" s="796"/>
      <c r="D34" s="570"/>
      <c r="E34" s="570"/>
      <c r="F34" s="570"/>
      <c r="G34" s="570"/>
      <c r="H34" s="570"/>
      <c r="I34" s="570"/>
      <c r="J34" s="570"/>
      <c r="K34" s="571"/>
      <c r="L34" s="419"/>
    </row>
    <row r="35" spans="2:12" ht="24.95" customHeight="1" x14ac:dyDescent="0.2">
      <c r="B35" s="770" t="s">
        <v>87</v>
      </c>
      <c r="C35" s="771"/>
      <c r="D35" s="774"/>
      <c r="E35" s="775"/>
      <c r="F35" s="775"/>
      <c r="G35" s="776"/>
      <c r="H35" s="774"/>
      <c r="I35" s="775"/>
      <c r="J35" s="775"/>
      <c r="K35" s="776"/>
      <c r="L35" s="163"/>
    </row>
    <row r="36" spans="2:12" ht="24.95" customHeight="1" x14ac:dyDescent="0.2">
      <c r="B36" s="770" t="s">
        <v>88</v>
      </c>
      <c r="C36" s="771"/>
      <c r="D36" s="777"/>
      <c r="E36" s="778"/>
      <c r="F36" s="778"/>
      <c r="G36" s="779"/>
      <c r="H36" s="777"/>
      <c r="I36" s="778"/>
      <c r="J36" s="778"/>
      <c r="K36" s="779"/>
      <c r="L36" s="163"/>
    </row>
    <row r="37" spans="2:12" ht="24.95" customHeight="1" x14ac:dyDescent="0.2">
      <c r="B37" s="770" t="s">
        <v>60</v>
      </c>
      <c r="C37" s="771"/>
      <c r="D37" s="774"/>
      <c r="E37" s="775"/>
      <c r="F37" s="775"/>
      <c r="G37" s="776"/>
      <c r="H37" s="774"/>
      <c r="I37" s="775"/>
      <c r="J37" s="775"/>
      <c r="K37" s="776"/>
      <c r="L37" s="163"/>
    </row>
    <row r="38" spans="2:12" ht="24.95" customHeight="1" x14ac:dyDescent="0.2">
      <c r="B38" s="781" t="s">
        <v>96</v>
      </c>
      <c r="C38" s="782"/>
      <c r="D38" s="783">
        <f>IF(D37="Unpaved",16.1345*D36^0.5,IF(D37="Paved",20.32828*D36^0.5,0))</f>
        <v>0</v>
      </c>
      <c r="E38" s="783"/>
      <c r="F38" s="783"/>
      <c r="G38" s="783"/>
      <c r="H38" s="783">
        <f>IF(H37="Unpaved",16.1345*H36^0.5,IF(H37="Paved",20.32828*H36^0.5,0))</f>
        <v>0</v>
      </c>
      <c r="I38" s="783"/>
      <c r="J38" s="783"/>
      <c r="K38" s="783"/>
      <c r="L38" s="766" t="s">
        <v>131</v>
      </c>
    </row>
    <row r="39" spans="2:12" ht="24.95" customHeight="1" x14ac:dyDescent="0.2">
      <c r="B39" s="770" t="s">
        <v>89</v>
      </c>
      <c r="C39" s="780"/>
      <c r="D39" s="783">
        <f>IF(D38&gt;0,D35/(3600*D38),0)</f>
        <v>0</v>
      </c>
      <c r="E39" s="783"/>
      <c r="F39" s="783"/>
      <c r="G39" s="783"/>
      <c r="H39" s="783">
        <f>IF(H38&gt;0,H35/(3600*H38),0)</f>
        <v>0</v>
      </c>
      <c r="I39" s="783"/>
      <c r="J39" s="783"/>
      <c r="K39" s="783"/>
      <c r="L39" s="766"/>
    </row>
    <row r="40" spans="2:12" ht="24.95" customHeight="1" x14ac:dyDescent="0.2">
      <c r="B40" s="784" t="s">
        <v>406</v>
      </c>
      <c r="C40" s="785"/>
      <c r="D40" s="772"/>
      <c r="E40" s="772"/>
      <c r="F40" s="772"/>
      <c r="G40" s="772"/>
      <c r="H40" s="772"/>
      <c r="I40" s="772"/>
      <c r="J40" s="772"/>
      <c r="K40" s="773"/>
      <c r="L40" s="163"/>
    </row>
    <row r="41" spans="2:12" ht="24.95" customHeight="1" x14ac:dyDescent="0.2">
      <c r="B41" s="770" t="s">
        <v>87</v>
      </c>
      <c r="C41" s="771"/>
      <c r="D41" s="739"/>
      <c r="E41" s="739"/>
      <c r="F41" s="739"/>
      <c r="G41" s="739"/>
      <c r="H41" s="774"/>
      <c r="I41" s="775"/>
      <c r="J41" s="775"/>
      <c r="K41" s="776"/>
      <c r="L41" s="163"/>
    </row>
    <row r="42" spans="2:12" ht="24.95" customHeight="1" x14ac:dyDescent="0.2">
      <c r="B42" s="770" t="s">
        <v>88</v>
      </c>
      <c r="C42" s="771"/>
      <c r="D42" s="786"/>
      <c r="E42" s="786"/>
      <c r="F42" s="786"/>
      <c r="G42" s="786"/>
      <c r="H42" s="777"/>
      <c r="I42" s="778"/>
      <c r="J42" s="778"/>
      <c r="K42" s="779"/>
      <c r="L42" s="163"/>
    </row>
    <row r="43" spans="2:12" ht="24.95" customHeight="1" x14ac:dyDescent="0.2">
      <c r="B43" s="770" t="s">
        <v>108</v>
      </c>
      <c r="C43" s="771"/>
      <c r="D43" s="739"/>
      <c r="E43" s="739"/>
      <c r="F43" s="739"/>
      <c r="G43" s="739"/>
      <c r="H43" s="774"/>
      <c r="I43" s="775"/>
      <c r="J43" s="775"/>
      <c r="K43" s="776"/>
      <c r="L43" s="163"/>
    </row>
    <row r="44" spans="2:12" ht="24.95" customHeight="1" x14ac:dyDescent="0.2">
      <c r="B44" s="767" t="s">
        <v>90</v>
      </c>
      <c r="C44" s="768"/>
      <c r="D44" s="739"/>
      <c r="E44" s="739"/>
      <c r="F44" s="739"/>
      <c r="G44" s="739"/>
      <c r="H44" s="774"/>
      <c r="I44" s="775"/>
      <c r="J44" s="775"/>
      <c r="K44" s="776"/>
      <c r="L44" s="163"/>
    </row>
    <row r="45" spans="2:12" ht="24.95" customHeight="1" x14ac:dyDescent="0.2">
      <c r="B45" s="770" t="s">
        <v>116</v>
      </c>
      <c r="C45" s="771"/>
      <c r="D45" s="739"/>
      <c r="E45" s="739"/>
      <c r="F45" s="739"/>
      <c r="G45" s="739"/>
      <c r="H45" s="774"/>
      <c r="I45" s="775"/>
      <c r="J45" s="775"/>
      <c r="K45" s="776"/>
      <c r="L45" s="163"/>
    </row>
    <row r="46" spans="2:12" ht="24.95" customHeight="1" x14ac:dyDescent="0.2">
      <c r="B46" s="781" t="s">
        <v>86</v>
      </c>
      <c r="C46" s="782"/>
      <c r="D46" s="769" t="str">
        <f>IF(D45="Asphalt",$G$151,IF(D45="Concrete, finished",$G$152,IF(D45="Concrete, unfinished",$G$153,IF(D45="Grass",$G$154,IF(D45="Gravel Bottom/riprap sides",$G$155,IF(D45="Weeds",$G$156,""))))))</f>
        <v/>
      </c>
      <c r="E46" s="769"/>
      <c r="F46" s="769"/>
      <c r="G46" s="769"/>
      <c r="H46" s="769" t="str">
        <f>IF(H45="Asphalt",$G$151,IF(H45="Concrete, finished",$G$152,IF(H45="Concrete, unfinished",$G$153,IF(H45="Grass",$G$154,IF(H45="Gravel Bottom/riprap sides",$G$155,IF(H45="Weeds",$G$156,""))))))</f>
        <v/>
      </c>
      <c r="I46" s="769"/>
      <c r="J46" s="769"/>
      <c r="K46" s="769"/>
      <c r="L46" s="766" t="s">
        <v>174</v>
      </c>
    </row>
    <row r="47" spans="2:12" ht="24.95" customHeight="1" x14ac:dyDescent="0.2">
      <c r="B47" s="781" t="s">
        <v>109</v>
      </c>
      <c r="C47" s="782"/>
      <c r="D47" s="783">
        <f>IF(ISERROR(D43/D44),0,D43/D44)</f>
        <v>0</v>
      </c>
      <c r="E47" s="783"/>
      <c r="F47" s="783"/>
      <c r="G47" s="783"/>
      <c r="H47" s="783">
        <f>IF(ISERROR(H43/H44),0,H43/H44)</f>
        <v>0</v>
      </c>
      <c r="I47" s="783"/>
      <c r="J47" s="783"/>
      <c r="K47" s="783"/>
      <c r="L47" s="766"/>
    </row>
    <row r="48" spans="2:12" ht="24.95" customHeight="1" x14ac:dyDescent="0.2">
      <c r="B48" s="781" t="s">
        <v>96</v>
      </c>
      <c r="C48" s="782"/>
      <c r="D48" s="783">
        <f>IF(D44&gt;0,(1.49*(D47^(2/3))*(D42^0.5))/D46,0)</f>
        <v>0</v>
      </c>
      <c r="E48" s="783"/>
      <c r="F48" s="783"/>
      <c r="G48" s="783"/>
      <c r="H48" s="783">
        <f>IF(H44&gt;0,(1.49*(H47^(2/3))*(H42^0.5))/H46,0)</f>
        <v>0</v>
      </c>
      <c r="I48" s="783"/>
      <c r="J48" s="783"/>
      <c r="K48" s="783"/>
      <c r="L48" s="766"/>
    </row>
    <row r="49" spans="2:12" ht="24.95" customHeight="1" x14ac:dyDescent="0.2">
      <c r="B49" s="770" t="s">
        <v>89</v>
      </c>
      <c r="C49" s="780"/>
      <c r="D49" s="783">
        <f>IF(D44&gt;0,D41/(3600*D48),0)</f>
        <v>0</v>
      </c>
      <c r="E49" s="783"/>
      <c r="F49" s="783"/>
      <c r="G49" s="783"/>
      <c r="H49" s="783">
        <f>IF(H44&gt;0,H41/(3600*H48),0)</f>
        <v>0</v>
      </c>
      <c r="I49" s="783"/>
      <c r="J49" s="783"/>
      <c r="K49" s="783"/>
      <c r="L49" s="766"/>
    </row>
    <row r="50" spans="2:12" ht="24.95" customHeight="1" x14ac:dyDescent="0.2">
      <c r="B50" s="784" t="s">
        <v>407</v>
      </c>
      <c r="C50" s="785"/>
      <c r="D50" s="772"/>
      <c r="E50" s="772"/>
      <c r="F50" s="772"/>
      <c r="G50" s="772"/>
      <c r="H50" s="772"/>
      <c r="I50" s="772"/>
      <c r="J50" s="772"/>
      <c r="K50" s="773"/>
      <c r="L50" s="163"/>
    </row>
    <row r="51" spans="2:12" ht="24.95" customHeight="1" x14ac:dyDescent="0.2">
      <c r="B51" s="770" t="s">
        <v>87</v>
      </c>
      <c r="C51" s="771"/>
      <c r="D51" s="739"/>
      <c r="E51" s="739"/>
      <c r="F51" s="739"/>
      <c r="G51" s="739"/>
      <c r="H51" s="739"/>
      <c r="I51" s="739"/>
      <c r="J51" s="739"/>
      <c r="K51" s="739"/>
      <c r="L51" s="163"/>
    </row>
    <row r="52" spans="2:12" ht="24.95" customHeight="1" x14ac:dyDescent="0.2">
      <c r="B52" s="770" t="s">
        <v>88</v>
      </c>
      <c r="C52" s="771"/>
      <c r="D52" s="786"/>
      <c r="E52" s="786"/>
      <c r="F52" s="786"/>
      <c r="G52" s="786"/>
      <c r="H52" s="786"/>
      <c r="I52" s="786"/>
      <c r="J52" s="786"/>
      <c r="K52" s="786"/>
      <c r="L52" s="163"/>
    </row>
    <row r="53" spans="2:12" ht="24.95" customHeight="1" x14ac:dyDescent="0.2">
      <c r="B53" s="770" t="s">
        <v>108</v>
      </c>
      <c r="C53" s="771"/>
      <c r="D53" s="739"/>
      <c r="E53" s="739"/>
      <c r="F53" s="739"/>
      <c r="G53" s="739"/>
      <c r="H53" s="739"/>
      <c r="I53" s="739"/>
      <c r="J53" s="739"/>
      <c r="K53" s="739"/>
      <c r="L53" s="163"/>
    </row>
    <row r="54" spans="2:12" ht="24.95" customHeight="1" x14ac:dyDescent="0.2">
      <c r="B54" s="767" t="s">
        <v>90</v>
      </c>
      <c r="C54" s="768"/>
      <c r="D54" s="739"/>
      <c r="E54" s="739"/>
      <c r="F54" s="739"/>
      <c r="G54" s="739"/>
      <c r="H54" s="739"/>
      <c r="I54" s="739"/>
      <c r="J54" s="739"/>
      <c r="K54" s="739"/>
      <c r="L54" s="163"/>
    </row>
    <row r="55" spans="2:12" ht="24.95" customHeight="1" x14ac:dyDescent="0.2">
      <c r="B55" s="770" t="s">
        <v>116</v>
      </c>
      <c r="C55" s="771"/>
      <c r="D55" s="739"/>
      <c r="E55" s="739"/>
      <c r="F55" s="739"/>
      <c r="G55" s="739"/>
      <c r="H55" s="739"/>
      <c r="I55" s="739"/>
      <c r="J55" s="739"/>
      <c r="K55" s="739"/>
      <c r="L55" s="163"/>
    </row>
    <row r="56" spans="2:12" ht="24.95" customHeight="1" x14ac:dyDescent="0.2">
      <c r="B56" s="781" t="s">
        <v>86</v>
      </c>
      <c r="C56" s="782"/>
      <c r="D56" s="769" t="str">
        <f>IF(D55="Asphalt",$G$151,IF(D55="Concrete, finished",$G$152,IF(D55="Concrete, unfinished",$G$153,IF(D55="Grass",$G$154,IF(D55="Gravel Bottom/riprap sides",$G$155,IF(D55="Weeds",$G$156,""))))))</f>
        <v/>
      </c>
      <c r="E56" s="769"/>
      <c r="F56" s="769"/>
      <c r="G56" s="769"/>
      <c r="H56" s="769" t="str">
        <f>IF(H55="Asphalt",$G$151,IF(H55="Concrete, finished",$G$152,IF(H55="Concrete, unfinished",$G$153,IF(H55="Grass",$G$154,IF(H55="Gravel Bottom/riprap sides",$G$155,IF(H55="Weeds",$G$156,""))))))</f>
        <v/>
      </c>
      <c r="I56" s="769"/>
      <c r="J56" s="769"/>
      <c r="K56" s="769"/>
      <c r="L56" s="766" t="s">
        <v>174</v>
      </c>
    </row>
    <row r="57" spans="2:12" ht="24.95" customHeight="1" x14ac:dyDescent="0.2">
      <c r="B57" s="781" t="s">
        <v>109</v>
      </c>
      <c r="C57" s="782"/>
      <c r="D57" s="783">
        <f>IF(ISERROR(D53/D54),0,D53/D54)</f>
        <v>0</v>
      </c>
      <c r="E57" s="783"/>
      <c r="F57" s="783"/>
      <c r="G57" s="783"/>
      <c r="H57" s="783">
        <f>IF(ISERROR(H53/H54),0,H53/H54)</f>
        <v>0</v>
      </c>
      <c r="I57" s="783"/>
      <c r="J57" s="783"/>
      <c r="K57" s="783"/>
      <c r="L57" s="766"/>
    </row>
    <row r="58" spans="2:12" ht="24.95" customHeight="1" x14ac:dyDescent="0.2">
      <c r="B58" s="781" t="s">
        <v>96</v>
      </c>
      <c r="C58" s="782"/>
      <c r="D58" s="783">
        <f>IF(D54&gt;0,(1.49*(D57^(2/3))*(D52^0.5))/D56,0)</f>
        <v>0</v>
      </c>
      <c r="E58" s="783"/>
      <c r="F58" s="783"/>
      <c r="G58" s="783"/>
      <c r="H58" s="783">
        <f>IF(H54&gt;0,(1.49*(H57^(2/3))*(H52^0.5))/H56,0)</f>
        <v>0</v>
      </c>
      <c r="I58" s="783"/>
      <c r="J58" s="783"/>
      <c r="K58" s="783"/>
      <c r="L58" s="766"/>
    </row>
    <row r="59" spans="2:12" ht="24.95" customHeight="1" x14ac:dyDescent="0.2">
      <c r="B59" s="770" t="s">
        <v>89</v>
      </c>
      <c r="C59" s="780"/>
      <c r="D59" s="783">
        <f>IF(D54&gt;0,D51/(3600*D58),0)</f>
        <v>0</v>
      </c>
      <c r="E59" s="783"/>
      <c r="F59" s="783"/>
      <c r="G59" s="783"/>
      <c r="H59" s="783">
        <f>IF(H54&gt;0,H51/(3600*H58),0)</f>
        <v>0</v>
      </c>
      <c r="I59" s="783"/>
      <c r="J59" s="783"/>
      <c r="K59" s="783"/>
      <c r="L59" s="766"/>
    </row>
    <row r="60" spans="2:12" ht="24.95" customHeight="1" x14ac:dyDescent="0.2">
      <c r="B60" s="784" t="s">
        <v>408</v>
      </c>
      <c r="C60" s="785"/>
      <c r="D60" s="772"/>
      <c r="E60" s="772"/>
      <c r="F60" s="772"/>
      <c r="G60" s="772"/>
      <c r="H60" s="772"/>
      <c r="I60" s="772"/>
      <c r="J60" s="772"/>
      <c r="K60" s="773"/>
      <c r="L60" s="163"/>
    </row>
    <row r="61" spans="2:12" ht="24.95" customHeight="1" x14ac:dyDescent="0.2">
      <c r="B61" s="770" t="s">
        <v>87</v>
      </c>
      <c r="C61" s="771"/>
      <c r="D61" s="739"/>
      <c r="E61" s="739"/>
      <c r="F61" s="739"/>
      <c r="G61" s="739"/>
      <c r="H61" s="739"/>
      <c r="I61" s="739"/>
      <c r="J61" s="739"/>
      <c r="K61" s="739"/>
      <c r="L61" s="163"/>
    </row>
    <row r="62" spans="2:12" ht="24.95" customHeight="1" x14ac:dyDescent="0.2">
      <c r="B62" s="770" t="s">
        <v>88</v>
      </c>
      <c r="C62" s="771"/>
      <c r="D62" s="786"/>
      <c r="E62" s="786"/>
      <c r="F62" s="786"/>
      <c r="G62" s="786"/>
      <c r="H62" s="786"/>
      <c r="I62" s="786"/>
      <c r="J62" s="786"/>
      <c r="K62" s="786"/>
      <c r="L62" s="163"/>
    </row>
    <row r="63" spans="2:12" ht="24.95" customHeight="1" x14ac:dyDescent="0.2">
      <c r="B63" s="770" t="s">
        <v>108</v>
      </c>
      <c r="C63" s="771"/>
      <c r="D63" s="739"/>
      <c r="E63" s="739"/>
      <c r="F63" s="739"/>
      <c r="G63" s="739"/>
      <c r="H63" s="739"/>
      <c r="I63" s="739"/>
      <c r="J63" s="739"/>
      <c r="K63" s="739"/>
      <c r="L63" s="163"/>
    </row>
    <row r="64" spans="2:12" ht="24.95" customHeight="1" x14ac:dyDescent="0.2">
      <c r="B64" s="821" t="s">
        <v>90</v>
      </c>
      <c r="C64" s="822"/>
      <c r="D64" s="739"/>
      <c r="E64" s="739"/>
      <c r="F64" s="739"/>
      <c r="G64" s="739"/>
      <c r="H64" s="739"/>
      <c r="I64" s="739"/>
      <c r="J64" s="739"/>
      <c r="K64" s="739"/>
      <c r="L64" s="163"/>
    </row>
    <row r="65" spans="1:27" ht="24.95" customHeight="1" x14ac:dyDescent="0.2">
      <c r="B65" s="770" t="s">
        <v>116</v>
      </c>
      <c r="C65" s="771"/>
      <c r="D65" s="739"/>
      <c r="E65" s="739"/>
      <c r="F65" s="739"/>
      <c r="G65" s="739"/>
      <c r="H65" s="739"/>
      <c r="I65" s="739"/>
      <c r="J65" s="739"/>
      <c r="K65" s="739"/>
      <c r="L65" s="163"/>
    </row>
    <row r="66" spans="1:27" ht="24.95" customHeight="1" x14ac:dyDescent="0.2">
      <c r="B66" s="781" t="s">
        <v>86</v>
      </c>
      <c r="C66" s="782"/>
      <c r="D66" s="769" t="str">
        <f>IF(D65="Asphalt",$G$151,IF(D65="Concrete, finished",$G$152,IF(D65="Concrete, unfinished",$G$153,IF(D65="Grass",$G$154,IF(D65="Gravel Bottom/riprap sides",$G$155,IF(D65="Weeds",$G$156,""))))))</f>
        <v/>
      </c>
      <c r="E66" s="769"/>
      <c r="F66" s="769"/>
      <c r="G66" s="769"/>
      <c r="H66" s="769" t="str">
        <f>IF(H65="Asphalt",$G$151,IF(H65="Concrete, finished",$G$152,IF(H65="Concrete, unfinished",$G$153,IF(H65="Grass",$G$154,IF(H65="Gravel Bottom/riprap sides",$G$155,IF(H65="Weeds",$G$156,""))))))</f>
        <v/>
      </c>
      <c r="I66" s="769"/>
      <c r="J66" s="769"/>
      <c r="K66" s="769"/>
      <c r="L66" s="766" t="s">
        <v>174</v>
      </c>
    </row>
    <row r="67" spans="1:27" ht="24.95" customHeight="1" x14ac:dyDescent="0.2">
      <c r="B67" s="781" t="s">
        <v>109</v>
      </c>
      <c r="C67" s="782"/>
      <c r="D67" s="783">
        <f>IF(ISERROR(D63/D64),0,D63/D64)</f>
        <v>0</v>
      </c>
      <c r="E67" s="783"/>
      <c r="F67" s="783"/>
      <c r="G67" s="783"/>
      <c r="H67" s="783">
        <f>IF(ISERROR(H63/H64),0,H63/H64)</f>
        <v>0</v>
      </c>
      <c r="I67" s="783"/>
      <c r="J67" s="783"/>
      <c r="K67" s="783"/>
      <c r="L67" s="766"/>
    </row>
    <row r="68" spans="1:27" ht="24.95" customHeight="1" x14ac:dyDescent="0.2">
      <c r="B68" s="781" t="s">
        <v>96</v>
      </c>
      <c r="C68" s="782"/>
      <c r="D68" s="783">
        <f>IF(D64&gt;0,(1.49*(D67^(2/3))*(D62^0.5))/D66,0)</f>
        <v>0</v>
      </c>
      <c r="E68" s="783"/>
      <c r="F68" s="783"/>
      <c r="G68" s="783"/>
      <c r="H68" s="783">
        <f>IF(H64&gt;0,(1.49*(H67^(2/3))*(H62^0.5))/H66,0)</f>
        <v>0</v>
      </c>
      <c r="I68" s="783"/>
      <c r="J68" s="783"/>
      <c r="K68" s="783"/>
      <c r="L68" s="766"/>
    </row>
    <row r="69" spans="1:27" ht="24.95" customHeight="1" x14ac:dyDescent="0.2">
      <c r="B69" s="770" t="s">
        <v>89</v>
      </c>
      <c r="C69" s="780"/>
      <c r="D69" s="783">
        <f>IF(D64&gt;0,D61/(3600*D68),0)</f>
        <v>0</v>
      </c>
      <c r="E69" s="783"/>
      <c r="F69" s="783"/>
      <c r="G69" s="783"/>
      <c r="H69" s="783">
        <f>IF(H64&gt;0,H61/(3600*H68),0)</f>
        <v>0</v>
      </c>
      <c r="I69" s="783"/>
      <c r="J69" s="783"/>
      <c r="K69" s="783"/>
      <c r="L69" s="766"/>
    </row>
    <row r="70" spans="1:27" ht="24.95" customHeight="1" thickBot="1" x14ac:dyDescent="0.25">
      <c r="B70" s="819" t="s">
        <v>125</v>
      </c>
      <c r="C70" s="820"/>
      <c r="D70" s="739">
        <f>D69+D59+D49+D39+D33</f>
        <v>0</v>
      </c>
      <c r="E70" s="739"/>
      <c r="F70" s="739"/>
      <c r="G70" s="739"/>
      <c r="H70" s="739">
        <f>H69+H59+H49+H39+H33</f>
        <v>0</v>
      </c>
      <c r="I70" s="739"/>
      <c r="J70" s="739"/>
      <c r="K70" s="739"/>
      <c r="L70" s="566" t="s">
        <v>176</v>
      </c>
    </row>
    <row r="71" spans="1:27" ht="24.95" customHeight="1" thickTop="1" thickBot="1" x14ac:dyDescent="0.3">
      <c r="B71" s="443" t="s">
        <v>134</v>
      </c>
      <c r="C71" s="445"/>
      <c r="D71" s="762" t="s">
        <v>9</v>
      </c>
      <c r="E71" s="762"/>
      <c r="F71" s="762"/>
      <c r="G71" s="762"/>
      <c r="H71" s="762" t="s">
        <v>30</v>
      </c>
      <c r="I71" s="762"/>
      <c r="J71" s="762"/>
      <c r="K71" s="762"/>
      <c r="L71" s="163"/>
    </row>
    <row r="72" spans="1:27" s="169" customFormat="1" ht="24.95" hidden="1" customHeight="1" thickTop="1" x14ac:dyDescent="0.2">
      <c r="A72" s="216"/>
      <c r="B72" s="826" t="s">
        <v>386</v>
      </c>
      <c r="C72" s="827"/>
      <c r="D72" s="816" t="e">
        <f>C122*0.2</f>
        <v>#DIV/0!</v>
      </c>
      <c r="E72" s="817"/>
      <c r="F72" s="817"/>
      <c r="G72" s="818"/>
      <c r="H72" s="816" t="e">
        <f>C130*0.2</f>
        <v>#DIV/0!</v>
      </c>
      <c r="I72" s="817"/>
      <c r="J72" s="817"/>
      <c r="K72" s="832"/>
      <c r="L72" s="420"/>
      <c r="M72" s="216"/>
      <c r="N72" s="216"/>
      <c r="O72" s="216"/>
      <c r="P72" s="216"/>
      <c r="Q72" s="216"/>
      <c r="R72" s="216"/>
      <c r="S72" s="216"/>
      <c r="T72" s="216"/>
      <c r="U72" s="216"/>
      <c r="V72" s="216"/>
      <c r="W72" s="216"/>
      <c r="X72" s="216"/>
      <c r="Y72" s="216"/>
      <c r="Z72" s="216"/>
      <c r="AA72" s="216"/>
    </row>
    <row r="73" spans="1:27" s="169" customFormat="1" ht="24.95" hidden="1" customHeight="1" x14ac:dyDescent="0.2">
      <c r="A73" s="216"/>
      <c r="B73" s="814" t="s">
        <v>387</v>
      </c>
      <c r="C73" s="815"/>
      <c r="D73" s="812" t="e">
        <f>D72/$D$11</f>
        <v>#DIV/0!</v>
      </c>
      <c r="E73" s="812"/>
      <c r="F73" s="812"/>
      <c r="G73" s="812"/>
      <c r="H73" s="812" t="e">
        <f>H72/$D$11</f>
        <v>#DIV/0!</v>
      </c>
      <c r="I73" s="812"/>
      <c r="J73" s="812"/>
      <c r="K73" s="813"/>
      <c r="L73" s="421"/>
      <c r="M73" s="216"/>
      <c r="N73" s="216"/>
      <c r="O73" s="216"/>
      <c r="P73" s="216"/>
      <c r="Q73" s="216"/>
      <c r="R73" s="216"/>
      <c r="S73" s="216"/>
      <c r="T73" s="216"/>
      <c r="U73" s="216"/>
      <c r="V73" s="216"/>
      <c r="W73" s="216"/>
      <c r="X73" s="216"/>
      <c r="Y73" s="216"/>
      <c r="Z73" s="216"/>
      <c r="AA73" s="216"/>
    </row>
    <row r="74" spans="1:27" ht="24.95" customHeight="1" thickTop="1" thickBot="1" x14ac:dyDescent="0.25">
      <c r="B74" s="828" t="s">
        <v>132</v>
      </c>
      <c r="C74" s="829"/>
      <c r="D74" s="763" t="e">
        <f>$G$109</f>
        <v>#DIV/0!</v>
      </c>
      <c r="E74" s="763"/>
      <c r="F74" s="763"/>
      <c r="G74" s="763"/>
      <c r="H74" s="763" t="e">
        <f>$H$109</f>
        <v>#DIV/0!</v>
      </c>
      <c r="I74" s="763"/>
      <c r="J74" s="763"/>
      <c r="K74" s="763"/>
      <c r="L74" s="566" t="s">
        <v>177</v>
      </c>
    </row>
    <row r="75" spans="1:27" s="142" customFormat="1" ht="24.95" customHeight="1" thickTop="1" thickBot="1" x14ac:dyDescent="0.25">
      <c r="A75" s="141"/>
      <c r="B75" s="750" t="s">
        <v>223</v>
      </c>
      <c r="C75" s="751"/>
      <c r="D75" s="436"/>
      <c r="E75" s="436"/>
      <c r="F75" s="436"/>
      <c r="G75" s="436"/>
      <c r="H75" s="436"/>
      <c r="I75" s="436"/>
      <c r="J75" s="436"/>
      <c r="K75" s="437"/>
      <c r="L75" s="422"/>
      <c r="M75" s="141"/>
      <c r="N75" s="141"/>
      <c r="O75" s="141"/>
      <c r="P75" s="141"/>
      <c r="Q75" s="141"/>
      <c r="R75" s="141"/>
      <c r="S75" s="141"/>
      <c r="T75" s="141"/>
      <c r="U75" s="141"/>
      <c r="V75" s="141"/>
      <c r="W75" s="141"/>
      <c r="X75" s="141"/>
      <c r="Y75" s="141"/>
      <c r="Z75" s="141"/>
      <c r="AA75" s="141"/>
    </row>
    <row r="76" spans="1:27" s="144" customFormat="1" ht="24.95" customHeight="1" thickTop="1" x14ac:dyDescent="0.2">
      <c r="A76" s="143"/>
      <c r="B76" s="740" t="s">
        <v>402</v>
      </c>
      <c r="C76" s="741"/>
      <c r="D76" s="742">
        <f>SUM($H$26:$K$26)</f>
        <v>0</v>
      </c>
      <c r="E76" s="743"/>
      <c r="F76" s="743"/>
      <c r="G76" s="743"/>
      <c r="H76" s="743"/>
      <c r="I76" s="743"/>
      <c r="J76" s="743"/>
      <c r="K76" s="744"/>
      <c r="L76" s="566" t="s">
        <v>222</v>
      </c>
      <c r="M76" s="143"/>
      <c r="N76" s="143"/>
      <c r="O76" s="143"/>
      <c r="P76" s="143"/>
      <c r="Q76" s="143"/>
      <c r="R76" s="143"/>
      <c r="S76" s="143"/>
      <c r="T76" s="143"/>
      <c r="U76" s="143"/>
      <c r="V76" s="143"/>
      <c r="W76" s="143"/>
      <c r="X76" s="143"/>
      <c r="Y76" s="143"/>
      <c r="Z76" s="143"/>
      <c r="AA76" s="143"/>
    </row>
    <row r="77" spans="1:27" s="144" customFormat="1" ht="24.95" customHeight="1" thickBot="1" x14ac:dyDescent="0.25">
      <c r="A77" s="143"/>
      <c r="B77" s="745" t="s">
        <v>403</v>
      </c>
      <c r="C77" s="746"/>
      <c r="D77" s="747" t="e">
        <f>IF(D76&gt;0,$C$188,H74)</f>
        <v>#DIV/0!</v>
      </c>
      <c r="E77" s="748"/>
      <c r="F77" s="748"/>
      <c r="G77" s="748"/>
      <c r="H77" s="748"/>
      <c r="I77" s="748"/>
      <c r="J77" s="748"/>
      <c r="K77" s="749"/>
      <c r="L77" s="423"/>
      <c r="M77" s="143"/>
      <c r="N77" s="143"/>
      <c r="O77" s="143"/>
      <c r="P77" s="143"/>
      <c r="Q77" s="143"/>
      <c r="R77" s="143"/>
      <c r="S77" s="143"/>
      <c r="T77" s="143"/>
      <c r="U77" s="143"/>
      <c r="V77" s="143"/>
      <c r="W77" s="143"/>
      <c r="X77" s="143"/>
      <c r="Y77" s="143"/>
      <c r="Z77" s="143"/>
      <c r="AA77" s="143"/>
    </row>
    <row r="78" spans="1:27" ht="24.95" customHeight="1" thickTop="1" thickBot="1" x14ac:dyDescent="0.25">
      <c r="B78" s="750" t="s">
        <v>385</v>
      </c>
      <c r="C78" s="751"/>
      <c r="D78" s="436"/>
      <c r="E78" s="436"/>
      <c r="F78" s="436"/>
      <c r="G78" s="436"/>
      <c r="H78" s="436"/>
      <c r="I78" s="436"/>
      <c r="J78" s="436"/>
      <c r="K78" s="437"/>
      <c r="L78" s="163"/>
    </row>
    <row r="79" spans="1:27" s="555" customFormat="1" ht="24.95" hidden="1" customHeight="1" thickTop="1" x14ac:dyDescent="0.2">
      <c r="A79" s="554"/>
      <c r="B79" s="764" t="s">
        <v>552</v>
      </c>
      <c r="C79" s="765"/>
      <c r="D79" s="823">
        <f>IF(ISERROR(C170),"",(C170))</f>
        <v>0</v>
      </c>
      <c r="E79" s="824"/>
      <c r="F79" s="824"/>
      <c r="G79" s="824"/>
      <c r="H79" s="824"/>
      <c r="I79" s="824"/>
      <c r="J79" s="824"/>
      <c r="K79" s="825"/>
      <c r="L79" s="553" t="s">
        <v>389</v>
      </c>
      <c r="M79" s="554"/>
      <c r="N79" s="554"/>
      <c r="O79" s="554"/>
      <c r="P79" s="554"/>
      <c r="Q79" s="554"/>
      <c r="R79" s="554"/>
      <c r="S79" s="554"/>
      <c r="T79" s="554"/>
      <c r="U79" s="554"/>
      <c r="V79" s="554"/>
      <c r="W79" s="554"/>
      <c r="X79" s="554"/>
      <c r="Y79" s="554"/>
      <c r="Z79" s="554"/>
      <c r="AA79" s="554"/>
    </row>
    <row r="80" spans="1:27" ht="41.25" customHeight="1" thickTop="1" thickBot="1" x14ac:dyDescent="0.25">
      <c r="B80" s="757" t="s">
        <v>590</v>
      </c>
      <c r="C80" s="758"/>
      <c r="D80" s="759" t="str">
        <f>IF(ISERROR($K$175),"",($K$175))</f>
        <v/>
      </c>
      <c r="E80" s="760"/>
      <c r="F80" s="760"/>
      <c r="G80" s="760"/>
      <c r="H80" s="760"/>
      <c r="I80" s="760"/>
      <c r="J80" s="760"/>
      <c r="K80" s="761"/>
      <c r="L80" s="566" t="s">
        <v>389</v>
      </c>
    </row>
    <row r="81" spans="1:27" ht="24.95" customHeight="1" thickTop="1" thickBot="1" x14ac:dyDescent="0.25">
      <c r="B81" s="750" t="s">
        <v>384</v>
      </c>
      <c r="C81" s="751"/>
      <c r="D81" s="436"/>
      <c r="E81" s="436"/>
      <c r="F81" s="436"/>
      <c r="G81" s="436"/>
      <c r="H81" s="436"/>
      <c r="I81" s="436"/>
      <c r="J81" s="436"/>
      <c r="K81" s="437"/>
      <c r="L81" s="163"/>
    </row>
    <row r="82" spans="1:27" ht="24.95" customHeight="1" thickTop="1" x14ac:dyDescent="0.2">
      <c r="B82" s="754" t="s">
        <v>390</v>
      </c>
      <c r="C82" s="753"/>
      <c r="D82" s="755" t="e">
        <f>IF(D72&gt;'SITE DATA'!$F$26,0,C123)</f>
        <v>#DIV/0!</v>
      </c>
      <c r="E82" s="755"/>
      <c r="F82" s="755"/>
      <c r="G82" s="755"/>
      <c r="H82" s="755" t="e">
        <f>IF(H72&gt;'SITE DATA'!$F$26,0,C131)</f>
        <v>#DIV/0!</v>
      </c>
      <c r="I82" s="755"/>
      <c r="J82" s="755"/>
      <c r="K82" s="755"/>
      <c r="L82" s="566" t="s">
        <v>178</v>
      </c>
    </row>
    <row r="83" spans="1:27" ht="24.95" customHeight="1" x14ac:dyDescent="0.2">
      <c r="B83" s="752" t="s">
        <v>349</v>
      </c>
      <c r="C83" s="753"/>
      <c r="D83" s="756" t="e">
        <f>ROUND(IF(ISERROR((D82/12)*(D10*43560)),"",((D82/12)*(D10*43560))),0)</f>
        <v>#VALUE!</v>
      </c>
      <c r="E83" s="756"/>
      <c r="F83" s="756"/>
      <c r="G83" s="756"/>
      <c r="H83" s="756">
        <f>ROUND(IF(ISERROR((H82/12)*(H10*43560)),0,((H82/12)*(H10*43560))),0)</f>
        <v>0</v>
      </c>
      <c r="I83" s="756"/>
      <c r="J83" s="756"/>
      <c r="K83" s="756"/>
      <c r="L83" s="424"/>
    </row>
    <row r="84" spans="1:27" ht="39" customHeight="1" x14ac:dyDescent="0.2">
      <c r="B84" s="757" t="s">
        <v>559</v>
      </c>
      <c r="C84" s="758"/>
      <c r="D84" s="756" t="str">
        <f>IF(ISERROR(H83-D83),"",(H83-D83))</f>
        <v/>
      </c>
      <c r="E84" s="756"/>
      <c r="F84" s="756"/>
      <c r="G84" s="756"/>
      <c r="H84" s="756"/>
      <c r="I84" s="756"/>
      <c r="J84" s="756"/>
      <c r="K84" s="756"/>
      <c r="L84" s="425"/>
    </row>
    <row r="85" spans="1:27" ht="24.95" customHeight="1" thickBot="1" x14ac:dyDescent="0.25">
      <c r="B85" s="752" t="s">
        <v>350</v>
      </c>
      <c r="C85" s="753"/>
      <c r="D85" s="809" t="e">
        <f>H127</f>
        <v>#DIV/0!</v>
      </c>
      <c r="E85" s="809"/>
      <c r="F85" s="809"/>
      <c r="G85" s="809"/>
      <c r="H85" s="809" t="e">
        <f>H135</f>
        <v>#DIV/0!</v>
      </c>
      <c r="I85" s="809"/>
      <c r="J85" s="809"/>
      <c r="K85" s="809"/>
      <c r="L85" s="426" t="s">
        <v>159</v>
      </c>
    </row>
    <row r="86" spans="1:27" ht="24.95" customHeight="1" thickTop="1" thickBot="1" x14ac:dyDescent="0.25">
      <c r="B86" s="750" t="s">
        <v>374</v>
      </c>
      <c r="C86" s="751"/>
      <c r="D86" s="436"/>
      <c r="E86" s="436"/>
      <c r="F86" s="436"/>
      <c r="G86" s="436"/>
      <c r="H86" s="436"/>
      <c r="I86" s="436"/>
      <c r="J86" s="436"/>
      <c r="K86" s="437"/>
      <c r="L86" s="426"/>
    </row>
    <row r="87" spans="1:27" ht="24.95" customHeight="1" thickTop="1" x14ac:dyDescent="0.2">
      <c r="B87" s="754" t="s">
        <v>391</v>
      </c>
      <c r="C87" s="753"/>
      <c r="D87" s="755" t="e">
        <f>IF($D$72&gt;'SITE DATA'!$F$27,0,C124)</f>
        <v>#DIV/0!</v>
      </c>
      <c r="E87" s="755"/>
      <c r="F87" s="755"/>
      <c r="G87" s="755"/>
      <c r="H87" s="755" t="e">
        <f>IF($H$72&gt;'SITE DATA'!$F$27,0,C132)</f>
        <v>#DIV/0!</v>
      </c>
      <c r="I87" s="755"/>
      <c r="J87" s="755"/>
      <c r="K87" s="755"/>
      <c r="L87" s="566" t="s">
        <v>178</v>
      </c>
    </row>
    <row r="88" spans="1:27" ht="24.95" customHeight="1" x14ac:dyDescent="0.2">
      <c r="B88" s="752" t="s">
        <v>349</v>
      </c>
      <c r="C88" s="753"/>
      <c r="D88" s="756" t="e">
        <f>(D87/12)*($D$10*43560)</f>
        <v>#DIV/0!</v>
      </c>
      <c r="E88" s="756"/>
      <c r="F88" s="756"/>
      <c r="G88" s="756"/>
      <c r="H88" s="756" t="e">
        <f>(H87/12)*(H10*43560)</f>
        <v>#DIV/0!</v>
      </c>
      <c r="I88" s="756"/>
      <c r="J88" s="756"/>
      <c r="K88" s="756"/>
      <c r="L88" s="426"/>
    </row>
    <row r="89" spans="1:27" ht="24.95" customHeight="1" thickBot="1" x14ac:dyDescent="0.25">
      <c r="B89" s="752" t="s">
        <v>351</v>
      </c>
      <c r="C89" s="753"/>
      <c r="D89" s="809" t="e">
        <f>H128</f>
        <v>#DIV/0!</v>
      </c>
      <c r="E89" s="809"/>
      <c r="F89" s="809"/>
      <c r="G89" s="809"/>
      <c r="H89" s="809" t="e">
        <f>H136</f>
        <v>#DIV/0!</v>
      </c>
      <c r="I89" s="809"/>
      <c r="J89" s="809"/>
      <c r="K89" s="809"/>
      <c r="L89" s="426" t="s">
        <v>159</v>
      </c>
    </row>
    <row r="90" spans="1:27" ht="24.95" customHeight="1" thickTop="1" thickBot="1" x14ac:dyDescent="0.25">
      <c r="B90" s="750" t="s">
        <v>376</v>
      </c>
      <c r="C90" s="751"/>
      <c r="D90" s="436"/>
      <c r="E90" s="436"/>
      <c r="F90" s="436"/>
      <c r="G90" s="436"/>
      <c r="H90" s="436"/>
      <c r="I90" s="436"/>
      <c r="J90" s="436"/>
      <c r="K90" s="437"/>
      <c r="L90" s="426"/>
    </row>
    <row r="91" spans="1:27" ht="24.95" customHeight="1" thickTop="1" x14ac:dyDescent="0.2">
      <c r="B91" s="754" t="s">
        <v>392</v>
      </c>
      <c r="C91" s="753"/>
      <c r="D91" s="755" t="e">
        <f>IF($D$72&gt;'SITE DATA'!F28,0,C125)</f>
        <v>#DIV/0!</v>
      </c>
      <c r="E91" s="755"/>
      <c r="F91" s="755"/>
      <c r="G91" s="755"/>
      <c r="H91" s="755" t="e">
        <f>IF($H$72&gt;'SITE DATA'!F28,0,C133)</f>
        <v>#DIV/0!</v>
      </c>
      <c r="I91" s="755"/>
      <c r="J91" s="755"/>
      <c r="K91" s="755"/>
      <c r="L91" s="566" t="s">
        <v>178</v>
      </c>
    </row>
    <row r="92" spans="1:27" ht="24.95" customHeight="1" x14ac:dyDescent="0.2">
      <c r="B92" s="752" t="s">
        <v>349</v>
      </c>
      <c r="C92" s="753"/>
      <c r="D92" s="756" t="e">
        <f>(D91/12)*($D$10*43560)</f>
        <v>#DIV/0!</v>
      </c>
      <c r="E92" s="756"/>
      <c r="F92" s="756"/>
      <c r="G92" s="756"/>
      <c r="H92" s="756" t="e">
        <f>(H91/12)*($D$10*43560)</f>
        <v>#DIV/0!</v>
      </c>
      <c r="I92" s="756"/>
      <c r="J92" s="756"/>
      <c r="K92" s="756"/>
      <c r="L92" s="426"/>
    </row>
    <row r="93" spans="1:27" ht="24.95" customHeight="1" thickBot="1" x14ac:dyDescent="0.25">
      <c r="B93" s="810" t="s">
        <v>352</v>
      </c>
      <c r="C93" s="811"/>
      <c r="D93" s="808" t="e">
        <f>H129</f>
        <v>#DIV/0!</v>
      </c>
      <c r="E93" s="808"/>
      <c r="F93" s="808"/>
      <c r="G93" s="808"/>
      <c r="H93" s="808" t="e">
        <f>H137</f>
        <v>#DIV/0!</v>
      </c>
      <c r="I93" s="808"/>
      <c r="J93" s="808"/>
      <c r="K93" s="808"/>
      <c r="L93" s="426"/>
    </row>
    <row r="94" spans="1:27" s="507" customFormat="1" ht="24.95" hidden="1" customHeight="1" thickTop="1" x14ac:dyDescent="0.2">
      <c r="B94" s="165"/>
      <c r="C94" s="165"/>
      <c r="D94" s="807" t="e">
        <f>IF($H$93&gt;$D$93,"Post-development peak flow exceeds pre-development peak flow for this DA!","")</f>
        <v>#DIV/0!</v>
      </c>
      <c r="E94" s="807"/>
      <c r="F94" s="807"/>
      <c r="G94" s="807"/>
      <c r="H94" s="807"/>
      <c r="I94" s="807"/>
      <c r="J94" s="807"/>
      <c r="K94" s="807"/>
    </row>
    <row r="95" spans="1:27" s="507" customFormat="1" ht="15" hidden="1" customHeight="1" x14ac:dyDescent="0.2">
      <c r="B95" s="155"/>
      <c r="C95" s="165"/>
      <c r="D95" s="167"/>
      <c r="E95" s="167"/>
      <c r="F95" s="167"/>
      <c r="G95" s="167"/>
      <c r="H95" s="167"/>
      <c r="I95" s="167"/>
      <c r="J95" s="167"/>
      <c r="K95" s="167"/>
      <c r="L95" s="168"/>
    </row>
    <row r="96" spans="1:27" s="169" customFormat="1" ht="15.75" hidden="1" customHeight="1" x14ac:dyDescent="0.25">
      <c r="A96" s="216"/>
      <c r="B96" s="806" t="s">
        <v>126</v>
      </c>
      <c r="C96" s="806"/>
      <c r="D96" s="806"/>
      <c r="E96" s="806"/>
      <c r="F96" s="806"/>
      <c r="G96" s="806"/>
      <c r="H96" s="806"/>
      <c r="I96" s="806"/>
      <c r="J96" s="806"/>
      <c r="K96" s="806"/>
      <c r="L96" s="806"/>
      <c r="M96" s="216"/>
      <c r="N96" s="216"/>
      <c r="O96" s="216"/>
      <c r="P96" s="216"/>
      <c r="Q96" s="216"/>
      <c r="R96" s="216"/>
      <c r="S96" s="216"/>
      <c r="T96" s="216"/>
      <c r="U96" s="216"/>
      <c r="V96" s="216"/>
      <c r="W96" s="216"/>
      <c r="X96" s="216"/>
      <c r="Y96" s="216"/>
      <c r="Z96" s="216"/>
      <c r="AA96" s="216"/>
    </row>
    <row r="97" spans="2:14" s="507" customFormat="1" ht="15" hidden="1" customHeight="1" x14ac:dyDescent="0.2">
      <c r="K97" s="167"/>
      <c r="L97" s="168"/>
    </row>
    <row r="98" spans="2:14" ht="18.75" hidden="1" customHeight="1" thickBot="1" x14ac:dyDescent="0.25">
      <c r="B98" s="855" t="s">
        <v>133</v>
      </c>
      <c r="C98" s="856"/>
      <c r="D98" s="856"/>
      <c r="E98" s="856"/>
      <c r="F98" s="856"/>
      <c r="G98" s="856"/>
      <c r="H98" s="856"/>
      <c r="I98" s="856"/>
      <c r="J98" s="170"/>
      <c r="K98" s="507"/>
      <c r="L98" s="507"/>
    </row>
    <row r="99" spans="2:14" ht="60" hidden="1" customHeight="1" x14ac:dyDescent="0.2">
      <c r="B99" s="171" t="s">
        <v>14</v>
      </c>
      <c r="C99" s="172" t="s">
        <v>15</v>
      </c>
      <c r="D99" s="172" t="s">
        <v>16</v>
      </c>
      <c r="E99" s="172" t="s">
        <v>18</v>
      </c>
      <c r="F99" s="172" t="s">
        <v>17</v>
      </c>
      <c r="G99" s="224" t="s">
        <v>289</v>
      </c>
      <c r="H99" s="225" t="s">
        <v>290</v>
      </c>
      <c r="I99" s="250" t="s">
        <v>377</v>
      </c>
      <c r="J99" s="249"/>
      <c r="K99" s="508"/>
      <c r="L99" s="507"/>
    </row>
    <row r="100" spans="2:14" ht="15" hidden="1" customHeight="1" x14ac:dyDescent="0.2">
      <c r="B100" s="173" t="s">
        <v>12</v>
      </c>
      <c r="C100" s="568">
        <v>39</v>
      </c>
      <c r="D100" s="568">
        <v>61</v>
      </c>
      <c r="E100" s="568">
        <v>74</v>
      </c>
      <c r="F100" s="568">
        <v>80</v>
      </c>
      <c r="G100" s="567">
        <f t="shared" ref="G100:G107" si="0">(C100*D17)+(D100*E17)+(E100*F17)+(F100*G17)</f>
        <v>0</v>
      </c>
      <c r="H100" s="569">
        <f>($C$100*$H$17)+($D$100*$I$17)+($E$100*$J$17)+($F$100*$K$17)</f>
        <v>0</v>
      </c>
      <c r="I100" s="251">
        <f>($C$100*$H$17)+($D$100*$I$17)+($E$100*$J$17)+($F$100*$K$17)</f>
        <v>0</v>
      </c>
      <c r="J100" s="508"/>
      <c r="K100" s="508"/>
      <c r="L100" s="507"/>
    </row>
    <row r="101" spans="2:14" ht="18" hidden="1" customHeight="1" x14ac:dyDescent="0.2">
      <c r="B101" s="173" t="s">
        <v>233</v>
      </c>
      <c r="C101" s="568">
        <v>45</v>
      </c>
      <c r="D101" s="568">
        <v>66</v>
      </c>
      <c r="E101" s="568">
        <v>77</v>
      </c>
      <c r="F101" s="568">
        <v>83</v>
      </c>
      <c r="G101" s="567">
        <f t="shared" si="0"/>
        <v>0</v>
      </c>
      <c r="H101" s="569">
        <f>($C$101*$H$18)+($D$101*$I$18)+($E$101*$J$18)+($F$101*$K$18)</f>
        <v>0</v>
      </c>
      <c r="I101" s="251">
        <f>($C$101*$H$18)+($D$101*$I$18)+($E$101*$J$18)+($F$101*$K$18)</f>
        <v>0</v>
      </c>
      <c r="J101" s="508"/>
      <c r="K101" s="508"/>
      <c r="L101" s="507"/>
    </row>
    <row r="102" spans="2:14" ht="18" hidden="1" customHeight="1" x14ac:dyDescent="0.2">
      <c r="B102" s="173" t="s">
        <v>235</v>
      </c>
      <c r="C102" s="568">
        <v>36</v>
      </c>
      <c r="D102" s="568">
        <v>60</v>
      </c>
      <c r="E102" s="568">
        <v>73</v>
      </c>
      <c r="F102" s="568">
        <v>79</v>
      </c>
      <c r="G102" s="567">
        <f t="shared" si="0"/>
        <v>0</v>
      </c>
      <c r="H102" s="569">
        <f>($C$102*$H$19)+($D$102*$I$19)+($E$102*$J$19)+($F$102*$K$19)</f>
        <v>0</v>
      </c>
      <c r="I102" s="251">
        <f>($C$102*$H$19)+($D$102*$I$19)+($E$102*$J$19)+($F$102*$K$19)</f>
        <v>0</v>
      </c>
      <c r="J102" s="508"/>
      <c r="K102" s="508"/>
      <c r="L102" s="507"/>
    </row>
    <row r="103" spans="2:14" ht="18" hidden="1" customHeight="1" x14ac:dyDescent="0.2">
      <c r="B103" s="173" t="s">
        <v>236</v>
      </c>
      <c r="C103" s="568">
        <v>30</v>
      </c>
      <c r="D103" s="568">
        <v>55</v>
      </c>
      <c r="E103" s="568">
        <v>70</v>
      </c>
      <c r="F103" s="568">
        <v>77</v>
      </c>
      <c r="G103" s="567">
        <f t="shared" si="0"/>
        <v>0</v>
      </c>
      <c r="H103" s="569">
        <f>($C$103*$H$20)+($D$103*$I$20)+($E$103*$J$20)+($F$103*$K$20)</f>
        <v>0</v>
      </c>
      <c r="I103" s="251">
        <f>($C$103*$H$20)+($D$103*$I$20)+($E$103*$J$20)+($F$103*$K$20)</f>
        <v>0</v>
      </c>
      <c r="J103" s="508"/>
      <c r="K103" s="508"/>
      <c r="L103" s="507"/>
    </row>
    <row r="104" spans="2:14" ht="18" hidden="1" customHeight="1" x14ac:dyDescent="0.2">
      <c r="B104" s="173" t="s">
        <v>234</v>
      </c>
      <c r="C104" s="568">
        <v>68</v>
      </c>
      <c r="D104" s="568">
        <v>79</v>
      </c>
      <c r="E104" s="568">
        <v>86</v>
      </c>
      <c r="F104" s="568">
        <v>89</v>
      </c>
      <c r="G104" s="567">
        <f t="shared" si="0"/>
        <v>0</v>
      </c>
      <c r="H104" s="569">
        <f>($C$104*$H$21)+($D$104*$I$21)+($E$104*$J$21)+($F$104*$K$21)</f>
        <v>0</v>
      </c>
      <c r="I104" s="251">
        <f>($C$104*$H$21)+($D$104*$I$21)+($E$104*$J$21)+($F$104*$K$21)</f>
        <v>0</v>
      </c>
      <c r="J104" s="508"/>
      <c r="K104" s="508"/>
      <c r="L104" s="507"/>
    </row>
    <row r="105" spans="2:14" ht="18" hidden="1" customHeight="1" x14ac:dyDescent="0.2">
      <c r="B105" s="173" t="s">
        <v>237</v>
      </c>
      <c r="C105" s="568">
        <v>49</v>
      </c>
      <c r="D105" s="568">
        <v>69</v>
      </c>
      <c r="E105" s="568">
        <v>79</v>
      </c>
      <c r="F105" s="568">
        <v>84</v>
      </c>
      <c r="G105" s="567">
        <f t="shared" si="0"/>
        <v>0</v>
      </c>
      <c r="H105" s="569">
        <f>($C$105*$H$22)+($D$105*$I$22)+($E$105*$J$22)+($F$105*$K$22)</f>
        <v>0</v>
      </c>
      <c r="I105" s="251">
        <f>($C$105*$H$22)+($D$105*$I$22)+($E$105*$J$22)+($F$105*$K$22)</f>
        <v>0</v>
      </c>
      <c r="J105" s="508"/>
      <c r="K105" s="508"/>
      <c r="L105" s="507"/>
    </row>
    <row r="106" spans="2:14" ht="18" hidden="1" customHeight="1" x14ac:dyDescent="0.2">
      <c r="B106" s="173" t="s">
        <v>238</v>
      </c>
      <c r="C106" s="568">
        <v>39</v>
      </c>
      <c r="D106" s="568">
        <v>61</v>
      </c>
      <c r="E106" s="568">
        <v>74</v>
      </c>
      <c r="F106" s="568">
        <v>80</v>
      </c>
      <c r="G106" s="567">
        <f t="shared" si="0"/>
        <v>0</v>
      </c>
      <c r="H106" s="569">
        <f>($C$106*$H$23)+($D$106*$I$23)+($E$106*$J$23)+($F$106*$K$23)</f>
        <v>0</v>
      </c>
      <c r="I106" s="251">
        <f>($C$106*$H$23)+($D$106*$I$23)+($E$106*$J$23)+($F$106*$K$23)</f>
        <v>0</v>
      </c>
      <c r="J106" s="508"/>
      <c r="K106" s="508"/>
      <c r="L106" s="507"/>
    </row>
    <row r="107" spans="2:14" ht="15" hidden="1" customHeight="1" x14ac:dyDescent="0.2">
      <c r="B107" s="173" t="s">
        <v>245</v>
      </c>
      <c r="C107" s="568">
        <v>30</v>
      </c>
      <c r="D107" s="568">
        <v>55</v>
      </c>
      <c r="E107" s="568">
        <v>70</v>
      </c>
      <c r="F107" s="568">
        <v>77</v>
      </c>
      <c r="G107" s="567">
        <f t="shared" si="0"/>
        <v>0</v>
      </c>
      <c r="H107" s="569">
        <f>($C$107*$H$24)+($D$107*$I$24)+($E$107*$J$24)+($F$107*$K$24)</f>
        <v>0</v>
      </c>
      <c r="I107" s="251">
        <f>($C$107*$H$24)+($D$107*$I$24)+($E$107*$J$24)+($F$107*$K$24)</f>
        <v>0</v>
      </c>
      <c r="J107" s="508"/>
      <c r="K107" s="508"/>
      <c r="L107" s="507"/>
    </row>
    <row r="108" spans="2:14" ht="18.75" hidden="1" customHeight="1" thickBot="1" x14ac:dyDescent="0.25">
      <c r="B108" s="175" t="s">
        <v>243</v>
      </c>
      <c r="C108" s="176">
        <v>98</v>
      </c>
      <c r="D108" s="176">
        <v>98</v>
      </c>
      <c r="E108" s="177">
        <v>98</v>
      </c>
      <c r="F108" s="177">
        <v>98</v>
      </c>
      <c r="G108" s="228">
        <f>(C108*(D26+D25))+(D108*(E26+E25))+(E108*(F26+F25))+(F108*(G26+G25))</f>
        <v>0</v>
      </c>
      <c r="H108" s="229">
        <f>($C$108*(H25+H26))+($D$108*(I25+I26))+($E$108*(J25+J26))+($F$108*(K25+K26))</f>
        <v>0</v>
      </c>
      <c r="I108" s="252">
        <f>($C$108*H26)+($D$108*I26)+($E$108*J26)+($F$108*K26)</f>
        <v>0</v>
      </c>
      <c r="J108" s="508" t="s">
        <v>370</v>
      </c>
      <c r="K108" s="508"/>
      <c r="L108" s="507"/>
    </row>
    <row r="109" spans="2:14" ht="15.75" hidden="1" customHeight="1" thickBot="1" x14ac:dyDescent="0.25">
      <c r="B109" s="178"/>
      <c r="C109" s="146"/>
      <c r="D109" s="146"/>
      <c r="E109" s="869" t="s">
        <v>265</v>
      </c>
      <c r="F109" s="870"/>
      <c r="G109" s="414" t="e">
        <f>ROUND((SUM(G100:G108)/SUM(D17:G26)),2)</f>
        <v>#DIV/0!</v>
      </c>
      <c r="H109" s="414" t="e">
        <f>ROUND((SUM(H100:H108)/SUM(H17:K26)),2)</f>
        <v>#DIV/0!</v>
      </c>
      <c r="I109" s="415" t="e">
        <f>ROUND(SUM(I100:I108)/(SUM(H17:K26)-SUM(H25:K25)),2)</f>
        <v>#DIV/0!</v>
      </c>
      <c r="J109" s="508"/>
      <c r="K109" s="508"/>
      <c r="L109" s="507"/>
    </row>
    <row r="110" spans="2:14" ht="15" hidden="1" customHeight="1" x14ac:dyDescent="0.2">
      <c r="B110" s="509"/>
      <c r="C110" s="506"/>
      <c r="D110" s="506"/>
      <c r="E110" s="159"/>
      <c r="F110" s="159"/>
      <c r="G110" s="159"/>
      <c r="H110" s="506"/>
      <c r="I110" s="506"/>
      <c r="J110" s="507"/>
      <c r="K110" s="167"/>
      <c r="L110" s="168"/>
    </row>
    <row r="111" spans="2:14" ht="15.75" hidden="1" customHeight="1" thickBot="1" x14ac:dyDescent="0.25">
      <c r="B111" s="507"/>
      <c r="C111" s="507"/>
      <c r="D111" s="506"/>
      <c r="E111" s="507"/>
      <c r="F111" s="507"/>
      <c r="G111" s="507"/>
      <c r="H111" s="507"/>
      <c r="I111" s="507"/>
      <c r="J111" s="507"/>
      <c r="K111" s="507"/>
    </row>
    <row r="112" spans="2:14" ht="18.75" hidden="1" customHeight="1" thickBot="1" x14ac:dyDescent="0.3">
      <c r="B112" s="836" t="s">
        <v>383</v>
      </c>
      <c r="C112" s="837"/>
      <c r="D112" s="506"/>
      <c r="E112" s="849" t="s">
        <v>55</v>
      </c>
      <c r="F112" s="850"/>
      <c r="G112" s="850"/>
      <c r="H112" s="850"/>
      <c r="I112" s="850"/>
      <c r="J112" s="850"/>
      <c r="K112" s="850"/>
      <c r="L112" s="850"/>
      <c r="M112" s="850"/>
      <c r="N112" s="851"/>
    </row>
    <row r="113" spans="2:14" ht="15" hidden="1" customHeight="1" x14ac:dyDescent="0.2">
      <c r="B113" s="838"/>
      <c r="C113" s="839"/>
      <c r="D113" s="506"/>
      <c r="E113" s="865" t="s">
        <v>32</v>
      </c>
      <c r="F113" s="866"/>
      <c r="G113" s="866"/>
      <c r="H113" s="866"/>
      <c r="I113" s="866"/>
      <c r="J113" s="866"/>
      <c r="K113" s="866"/>
      <c r="L113" s="866"/>
      <c r="M113" s="866"/>
      <c r="N113" s="867"/>
    </row>
    <row r="114" spans="2:14" ht="18" hidden="1" customHeight="1" x14ac:dyDescent="0.2">
      <c r="B114" s="64"/>
      <c r="C114" s="113"/>
      <c r="D114" s="506"/>
      <c r="E114" s="265"/>
      <c r="F114" s="159"/>
      <c r="G114" s="266"/>
      <c r="H114" s="266"/>
      <c r="I114" s="266"/>
      <c r="J114" s="266"/>
      <c r="K114" s="510"/>
      <c r="L114" s="181"/>
      <c r="M114" s="506"/>
      <c r="N114" s="513"/>
    </row>
    <row r="115" spans="2:14" ht="20.25" hidden="1" customHeight="1" x14ac:dyDescent="0.35">
      <c r="B115" s="863" t="s">
        <v>40</v>
      </c>
      <c r="C115" s="864"/>
      <c r="D115" s="506"/>
      <c r="E115" s="265"/>
      <c r="F115" s="266"/>
      <c r="G115" s="267" t="s">
        <v>149</v>
      </c>
      <c r="H115" s="267"/>
      <c r="I115" s="268"/>
      <c r="J115" s="506" t="s">
        <v>138</v>
      </c>
      <c r="K115" s="510"/>
      <c r="L115" s="181"/>
      <c r="M115" s="506"/>
      <c r="N115" s="513"/>
    </row>
    <row r="116" spans="2:14" ht="60" hidden="1" customHeight="1" x14ac:dyDescent="0.2">
      <c r="B116" s="863" t="s">
        <v>22</v>
      </c>
      <c r="C116" s="864"/>
      <c r="D116" s="182" t="s">
        <v>304</v>
      </c>
      <c r="E116" s="265"/>
      <c r="F116" s="266"/>
      <c r="G116" s="267" t="s">
        <v>33</v>
      </c>
      <c r="H116" s="267"/>
      <c r="I116" s="267"/>
      <c r="J116" s="510"/>
      <c r="K116" s="267" t="s">
        <v>33</v>
      </c>
      <c r="L116" s="181"/>
      <c r="M116" s="506"/>
      <c r="N116" s="513"/>
    </row>
    <row r="117" spans="2:14" ht="19.5" hidden="1" customHeight="1" x14ac:dyDescent="0.35">
      <c r="B117" s="183" t="s">
        <v>45</v>
      </c>
      <c r="C117" s="184"/>
      <c r="D117" s="506"/>
      <c r="E117" s="265"/>
      <c r="F117" s="266"/>
      <c r="G117" s="267" t="s">
        <v>128</v>
      </c>
      <c r="H117" s="267"/>
      <c r="I117" s="267"/>
      <c r="J117" s="266"/>
      <c r="K117" s="506" t="s">
        <v>139</v>
      </c>
      <c r="L117" s="181"/>
      <c r="M117" s="506"/>
      <c r="N117" s="513"/>
    </row>
    <row r="118" spans="2:14" ht="19.5" hidden="1" customHeight="1" x14ac:dyDescent="0.35">
      <c r="B118" s="183" t="s">
        <v>41</v>
      </c>
      <c r="C118" s="114"/>
      <c r="D118" s="506"/>
      <c r="E118" s="265"/>
      <c r="F118" s="181"/>
      <c r="G118" s="267" t="s">
        <v>158</v>
      </c>
      <c r="H118" s="268"/>
      <c r="I118" s="268"/>
      <c r="J118" s="268"/>
      <c r="K118" s="506" t="s">
        <v>140</v>
      </c>
      <c r="L118" s="181"/>
      <c r="M118" s="506"/>
      <c r="N118" s="513"/>
    </row>
    <row r="119" spans="2:14" ht="20.25" hidden="1" customHeight="1" x14ac:dyDescent="0.35">
      <c r="B119" s="185"/>
      <c r="C119" s="184"/>
      <c r="D119" s="506"/>
      <c r="E119" s="265"/>
      <c r="F119" s="266"/>
      <c r="G119" s="267" t="s">
        <v>130</v>
      </c>
      <c r="H119" s="267"/>
      <c r="I119" s="267"/>
      <c r="J119" s="266"/>
      <c r="K119" s="510"/>
      <c r="L119" s="269"/>
      <c r="M119" s="506"/>
      <c r="N119" s="513"/>
    </row>
    <row r="120" spans="2:14" ht="15" hidden="1" customHeight="1" x14ac:dyDescent="0.2">
      <c r="B120" s="186" t="s">
        <v>48</v>
      </c>
      <c r="C120" s="184"/>
      <c r="D120" s="506"/>
      <c r="E120" s="265"/>
      <c r="F120" s="266"/>
      <c r="G120" s="267" t="s">
        <v>34</v>
      </c>
      <c r="H120" s="267"/>
      <c r="I120" s="267"/>
      <c r="J120" s="266"/>
      <c r="K120" s="510"/>
      <c r="L120" s="269"/>
      <c r="M120" s="506"/>
      <c r="N120" s="513"/>
    </row>
    <row r="121" spans="2:14" ht="19.5" hidden="1" customHeight="1" x14ac:dyDescent="0.35">
      <c r="B121" s="51" t="s">
        <v>20</v>
      </c>
      <c r="C121" s="187" t="s">
        <v>42</v>
      </c>
      <c r="D121" s="506"/>
      <c r="E121" s="265"/>
      <c r="F121" s="159"/>
      <c r="G121" s="267" t="s">
        <v>150</v>
      </c>
      <c r="H121" s="506"/>
      <c r="I121" s="506"/>
      <c r="J121" s="270"/>
      <c r="K121" s="506"/>
      <c r="L121" s="271"/>
      <c r="M121" s="506"/>
      <c r="N121" s="513"/>
    </row>
    <row r="122" spans="2:14" ht="15.75" hidden="1" customHeight="1" x14ac:dyDescent="0.2">
      <c r="B122" s="51" t="s">
        <v>20</v>
      </c>
      <c r="C122" s="115" t="e">
        <f>(1000/$G$109)-10</f>
        <v>#DIV/0!</v>
      </c>
      <c r="D122" s="506"/>
      <c r="E122" s="860" t="s">
        <v>35</v>
      </c>
      <c r="F122" s="861"/>
      <c r="G122" s="861"/>
      <c r="H122" s="861"/>
      <c r="I122" s="861"/>
      <c r="J122" s="861"/>
      <c r="K122" s="861"/>
      <c r="L122" s="861"/>
      <c r="M122" s="861"/>
      <c r="N122" s="862"/>
    </row>
    <row r="123" spans="2:14" ht="19.5" hidden="1" customHeight="1" x14ac:dyDescent="0.25">
      <c r="B123" s="188" t="s">
        <v>330</v>
      </c>
      <c r="C123" s="76" t="e">
        <f>(($D$11-(0.2*$C$122))^2)/($D$11+(0.8*$C$122))</f>
        <v>#DIV/0!</v>
      </c>
      <c r="D123" s="506"/>
      <c r="E123" s="265"/>
      <c r="F123" s="272"/>
      <c r="G123" s="269" t="s">
        <v>61</v>
      </c>
      <c r="H123" s="273" t="e">
        <f>N125</f>
        <v>#DIV/0!</v>
      </c>
      <c r="I123" s="269" t="s">
        <v>36</v>
      </c>
      <c r="J123" s="506"/>
      <c r="K123" s="511" t="s">
        <v>141</v>
      </c>
      <c r="L123" s="190" t="e">
        <f>IF(D73&gt;0.475,$J$147,IF(D73&gt;0.425,$J$146,IF(D73&gt;0.375,$J$145,IF(D73&gt;0.325,$J$144,IF(D73&gt;0.2,$J$143,$J$142)))))</f>
        <v>#DIV/0!</v>
      </c>
      <c r="M123" s="191"/>
      <c r="N123" s="232"/>
    </row>
    <row r="124" spans="2:14" ht="19.5" hidden="1" customHeight="1" x14ac:dyDescent="0.35">
      <c r="B124" s="188" t="s">
        <v>331</v>
      </c>
      <c r="C124" s="76" t="e">
        <f>(($D$12-(0.2*$C$122))^2)/($D$12+(0.8*$C$122))</f>
        <v>#DIV/0!</v>
      </c>
      <c r="D124" s="506"/>
      <c r="E124" s="274"/>
      <c r="F124" s="272"/>
      <c r="G124" s="269" t="s">
        <v>62</v>
      </c>
      <c r="H124" s="275">
        <f>(D9/640)</f>
        <v>0</v>
      </c>
      <c r="I124" s="269" t="s">
        <v>63</v>
      </c>
      <c r="J124" s="506"/>
      <c r="K124" s="511" t="s">
        <v>142</v>
      </c>
      <c r="L124" s="192" t="e">
        <f>IF(L123=J142,K142,IF(L123=J143,K143,IF(L123=J144,K144,IF(L123=J145,K145,IF(L123=J146,K146,IF(L123=J147,K147,""))))))</f>
        <v>#DIV/0!</v>
      </c>
      <c r="M124" s="165" t="s">
        <v>145</v>
      </c>
      <c r="N124" s="513" t="e">
        <f>L124+(L125*LOG(N126))+(L126*((LOG(N126))^2))</f>
        <v>#DIV/0!</v>
      </c>
    </row>
    <row r="125" spans="2:14" ht="19.5" hidden="1" customHeight="1" x14ac:dyDescent="0.35">
      <c r="B125" s="188" t="s">
        <v>332</v>
      </c>
      <c r="C125" s="76" t="e">
        <f>(($D$13-(0.2*$C$122))^2)/($D$13+(0.8*$C$122))</f>
        <v>#DIV/0!</v>
      </c>
      <c r="D125" s="506"/>
      <c r="E125" s="276" t="s">
        <v>151</v>
      </c>
      <c r="F125" s="277" t="e">
        <f>($D$15/$D$9)*100</f>
        <v>#DIV/0!</v>
      </c>
      <c r="G125" s="278" t="s">
        <v>169</v>
      </c>
      <c r="H125" s="273" t="e">
        <f>IF($F$125&gt;4.44,$N$157,IF($F$125&gt;2.44,$N$156,IF($F$125&gt;0.45,$N$155,IF($F$125&gt;0.144,$N$154,1))))</f>
        <v>#DIV/0!</v>
      </c>
      <c r="I125" s="269"/>
      <c r="J125" s="506"/>
      <c r="K125" s="511" t="s">
        <v>143</v>
      </c>
      <c r="L125" s="192" t="e">
        <f>IF($L$123=J142,L142,IF($L$123=J143,L143,IF($L$123=J144,L144,IF($L$123=J145,L145,IF($L$123=J146,L146,IF($L$123=J147,L147,""))))))</f>
        <v>#DIV/0!</v>
      </c>
      <c r="M125" s="165" t="s">
        <v>146</v>
      </c>
      <c r="N125" s="513" t="e">
        <f>10^N124</f>
        <v>#DIV/0!</v>
      </c>
    </row>
    <row r="126" spans="2:14" ht="19.5" hidden="1" customHeight="1" x14ac:dyDescent="0.35">
      <c r="B126" s="186" t="s">
        <v>49</v>
      </c>
      <c r="C126" s="184"/>
      <c r="D126" s="506"/>
      <c r="E126" s="233"/>
      <c r="F126" s="234"/>
      <c r="G126" s="234"/>
      <c r="H126" s="234"/>
      <c r="I126" s="234"/>
      <c r="J126" s="506"/>
      <c r="K126" s="511" t="s">
        <v>144</v>
      </c>
      <c r="L126" s="192" t="e">
        <f>IF($L$123=J142,M142,IF($L$123=J143,M143,IF($L$123=J144,M144,IF($L$123=J145,M145,IF($L$123=J146,M146,IF($L$123=J147,M147,""))))))</f>
        <v>#DIV/0!</v>
      </c>
      <c r="M126" s="165" t="s">
        <v>72</v>
      </c>
      <c r="N126" s="235">
        <f>D70</f>
        <v>0</v>
      </c>
    </row>
    <row r="127" spans="2:14" ht="18.75" hidden="1" customHeight="1" x14ac:dyDescent="0.2">
      <c r="B127" s="186"/>
      <c r="C127" s="184"/>
      <c r="D127" s="506"/>
      <c r="E127" s="276"/>
      <c r="F127" s="277"/>
      <c r="G127" s="279" t="s">
        <v>37</v>
      </c>
      <c r="H127" s="280" t="e">
        <f>$H$124*C123*$H$125*$H$123</f>
        <v>#DIV/0!</v>
      </c>
      <c r="I127" s="279" t="s">
        <v>38</v>
      </c>
      <c r="J127" s="506"/>
      <c r="K127" s="511"/>
      <c r="L127" s="192"/>
      <c r="M127" s="165"/>
      <c r="N127" s="235"/>
    </row>
    <row r="128" spans="2:14" ht="18.75" hidden="1" customHeight="1" x14ac:dyDescent="0.2">
      <c r="B128" s="186"/>
      <c r="C128" s="184"/>
      <c r="D128" s="506"/>
      <c r="E128" s="276"/>
      <c r="F128" s="277"/>
      <c r="G128" s="279" t="s">
        <v>327</v>
      </c>
      <c r="H128" s="280" t="e">
        <f>$H$124*C124*$H$125*$H$123</f>
        <v>#DIV/0!</v>
      </c>
      <c r="I128" s="279" t="s">
        <v>38</v>
      </c>
      <c r="J128" s="506"/>
      <c r="K128" s="511"/>
      <c r="L128" s="192"/>
      <c r="M128" s="165"/>
      <c r="N128" s="235"/>
    </row>
    <row r="129" spans="2:14" ht="18.75" hidden="1" customHeight="1" x14ac:dyDescent="0.2">
      <c r="B129" s="51" t="s">
        <v>20</v>
      </c>
      <c r="C129" s="187" t="s">
        <v>42</v>
      </c>
      <c r="D129" s="506"/>
      <c r="E129" s="265"/>
      <c r="F129" s="281"/>
      <c r="G129" s="279" t="s">
        <v>328</v>
      </c>
      <c r="H129" s="280" t="e">
        <f>$H$124*C125*$H$125*$H$123</f>
        <v>#DIV/0!</v>
      </c>
      <c r="I129" s="279" t="s">
        <v>38</v>
      </c>
      <c r="J129" s="506"/>
      <c r="K129" s="506"/>
      <c r="L129" s="159"/>
      <c r="M129" s="506"/>
      <c r="N129" s="202"/>
    </row>
    <row r="130" spans="2:14" ht="15.75" hidden="1" customHeight="1" x14ac:dyDescent="0.25">
      <c r="B130" s="51" t="s">
        <v>20</v>
      </c>
      <c r="C130" s="115" t="e">
        <f>(1000/D77)-10</f>
        <v>#DIV/0!</v>
      </c>
      <c r="D130" s="506"/>
      <c r="E130" s="857" t="s">
        <v>47</v>
      </c>
      <c r="F130" s="858"/>
      <c r="G130" s="858"/>
      <c r="H130" s="858"/>
      <c r="I130" s="858"/>
      <c r="J130" s="858"/>
      <c r="K130" s="858"/>
      <c r="L130" s="858"/>
      <c r="M130" s="858"/>
      <c r="N130" s="859"/>
    </row>
    <row r="131" spans="2:14" ht="19.5" hidden="1" customHeight="1" x14ac:dyDescent="0.25">
      <c r="B131" s="188" t="s">
        <v>330</v>
      </c>
      <c r="C131" s="76" t="e">
        <f>($D$11-(0.2*$C$130))^2/($D$11+(0.8*$C$130))</f>
        <v>#DIV/0!</v>
      </c>
      <c r="D131" s="506"/>
      <c r="E131" s="282"/>
      <c r="F131" s="272"/>
      <c r="G131" s="269" t="s">
        <v>61</v>
      </c>
      <c r="H131" s="273" t="e">
        <f>N133</f>
        <v>#DIV/0!</v>
      </c>
      <c r="I131" s="269" t="s">
        <v>36</v>
      </c>
      <c r="J131" s="506"/>
      <c r="K131" s="511" t="s">
        <v>141</v>
      </c>
      <c r="L131" s="190" t="e">
        <f>IF(H73&gt;0.475,$J$147,IF(H73&gt;0.425,$J$146,IF(H73&gt;0.375,$J$145,IF(H73&gt;0.325,$J$144,IF(H73&gt;0.2,$J$143,$J$142)))))</f>
        <v>#DIV/0!</v>
      </c>
      <c r="M131" s="506"/>
      <c r="N131" s="202"/>
    </row>
    <row r="132" spans="2:14" ht="19.5" hidden="1" customHeight="1" x14ac:dyDescent="0.35">
      <c r="B132" s="188" t="s">
        <v>331</v>
      </c>
      <c r="C132" s="76" t="e">
        <f>($D$12-(0.2*$C$130))^2/($D$12+(0.8*$C$130))</f>
        <v>#DIV/0!</v>
      </c>
      <c r="D132" s="506"/>
      <c r="E132" s="265"/>
      <c r="F132" s="283"/>
      <c r="G132" s="269" t="s">
        <v>62</v>
      </c>
      <c r="H132" s="275">
        <f>(H9/640)</f>
        <v>0</v>
      </c>
      <c r="I132" s="269" t="s">
        <v>63</v>
      </c>
      <c r="J132" s="506"/>
      <c r="K132" s="511" t="s">
        <v>142</v>
      </c>
      <c r="L132" s="192" t="e">
        <f>IF($L$131=J142,K142,IF($L$131=J143,K143,IF($L$131=J144,K144,IF($L$131=J145,K145,IF($L$131=J146,K146,IF($L$131=J147,K147,""))))))</f>
        <v>#DIV/0!</v>
      </c>
      <c r="M132" s="165" t="s">
        <v>145</v>
      </c>
      <c r="N132" s="202" t="e">
        <f>L132+(L133*LOG(N134))+(L134*((LOG(N134))^2))</f>
        <v>#DIV/0!</v>
      </c>
    </row>
    <row r="133" spans="2:14" ht="20.25" hidden="1" customHeight="1" thickBot="1" x14ac:dyDescent="0.4">
      <c r="B133" s="193" t="s">
        <v>332</v>
      </c>
      <c r="C133" s="138" t="e">
        <f>($D$13-(0.2*$C$130))^2/($D$13+(0.8*$C$130))</f>
        <v>#DIV/0!</v>
      </c>
      <c r="D133" s="506"/>
      <c r="E133" s="276" t="s">
        <v>151</v>
      </c>
      <c r="F133" s="277" t="e">
        <f>($H$15/$H$9)*100</f>
        <v>#DIV/0!</v>
      </c>
      <c r="G133" s="278" t="s">
        <v>169</v>
      </c>
      <c r="H133" s="273" t="e">
        <f>IF(F133&gt;4.44,$N$157,IF(F133&gt;2.44,$N$156,IF(F133&gt;0.45,$N$155,IF(F133&gt;0.144,$N$154,1))))</f>
        <v>#DIV/0!</v>
      </c>
      <c r="I133" s="279" t="s">
        <v>38</v>
      </c>
      <c r="J133" s="506"/>
      <c r="K133" s="511" t="s">
        <v>143</v>
      </c>
      <c r="L133" s="192" t="e">
        <f>IF($L$131=J142,L142,IF($L$131=J143,L143,IF($L$131=J144,L144,IF($L$131=J145,L145,IF($L$131=J146,L146,IF($L$131=J147,L147,""))))))</f>
        <v>#DIV/0!</v>
      </c>
      <c r="M133" s="165" t="s">
        <v>146</v>
      </c>
      <c r="N133" s="202" t="e">
        <f>10^N132</f>
        <v>#DIV/0!</v>
      </c>
    </row>
    <row r="134" spans="2:14" ht="19.5" hidden="1" customHeight="1" x14ac:dyDescent="0.35">
      <c r="B134" s="74"/>
      <c r="C134" s="93"/>
      <c r="D134" s="194"/>
      <c r="E134" s="276"/>
      <c r="F134" s="277"/>
      <c r="G134" s="278"/>
      <c r="H134" s="273"/>
      <c r="I134" s="279"/>
      <c r="J134" s="506"/>
      <c r="K134" s="511" t="s">
        <v>144</v>
      </c>
      <c r="L134" s="192" t="e">
        <f>IF($L$131=J142,M142,IF($L$131=J143,M143,IF($L$131=J144,M144,IF($L$131=J145,M145,IF($L$131=J146,M146,IF($L$131=J147,M147,""))))))</f>
        <v>#DIV/0!</v>
      </c>
      <c r="M134" s="165" t="s">
        <v>72</v>
      </c>
      <c r="N134" s="235">
        <f>H70</f>
        <v>0</v>
      </c>
    </row>
    <row r="135" spans="2:14" ht="18.75" hidden="1" customHeight="1" x14ac:dyDescent="0.25">
      <c r="B135" s="74"/>
      <c r="C135" s="93"/>
      <c r="D135" s="194"/>
      <c r="E135" s="276"/>
      <c r="F135" s="277"/>
      <c r="G135" s="279" t="s">
        <v>37</v>
      </c>
      <c r="H135" s="280" t="e">
        <f>$H$132*$C$131*$H$133*$H$131</f>
        <v>#DIV/0!</v>
      </c>
      <c r="I135" s="279" t="s">
        <v>38</v>
      </c>
      <c r="J135" s="506"/>
      <c r="K135" s="511"/>
      <c r="L135" s="192"/>
      <c r="M135" s="165"/>
      <c r="N135" s="235"/>
    </row>
    <row r="136" spans="2:14" ht="18.75" hidden="1" customHeight="1" x14ac:dyDescent="0.25">
      <c r="B136" s="74"/>
      <c r="C136" s="93"/>
      <c r="D136" s="194"/>
      <c r="E136" s="276"/>
      <c r="F136" s="277"/>
      <c r="G136" s="279" t="s">
        <v>327</v>
      </c>
      <c r="H136" s="280" t="e">
        <f>$H$132*$C$132*$H$133*$H$131</f>
        <v>#DIV/0!</v>
      </c>
      <c r="I136" s="279" t="s">
        <v>38</v>
      </c>
      <c r="J136" s="506"/>
      <c r="K136" s="511"/>
      <c r="L136" s="192"/>
      <c r="M136" s="165"/>
      <c r="N136" s="235"/>
    </row>
    <row r="137" spans="2:14" ht="19.5" hidden="1" customHeight="1" thickBot="1" x14ac:dyDescent="0.25">
      <c r="B137" s="195"/>
      <c r="C137" s="75"/>
      <c r="D137" s="506"/>
      <c r="E137" s="211"/>
      <c r="F137" s="501"/>
      <c r="G137" s="285" t="s">
        <v>328</v>
      </c>
      <c r="H137" s="284" t="e">
        <f>$H$132*$C$133*$H$133*$H$131</f>
        <v>#DIV/0!</v>
      </c>
      <c r="I137" s="285" t="s">
        <v>38</v>
      </c>
      <c r="J137" s="501"/>
      <c r="K137" s="501"/>
      <c r="L137" s="236"/>
      <c r="M137" s="501"/>
      <c r="N137" s="222"/>
    </row>
    <row r="138" spans="2:14" ht="15.75" hidden="1" customHeight="1" thickBot="1" x14ac:dyDescent="0.25">
      <c r="B138" s="507"/>
      <c r="C138" s="507"/>
      <c r="D138" s="507"/>
      <c r="E138" s="160"/>
      <c r="F138" s="160"/>
      <c r="G138" s="160"/>
      <c r="H138" s="507"/>
      <c r="I138" s="198"/>
      <c r="J138" s="506"/>
      <c r="K138" s="506"/>
      <c r="L138" s="159"/>
      <c r="M138" s="506"/>
      <c r="N138" s="465"/>
    </row>
    <row r="139" spans="2:14" ht="15.75" hidden="1" customHeight="1" thickBot="1" x14ac:dyDescent="0.25">
      <c r="B139" s="507"/>
      <c r="C139" s="507"/>
      <c r="D139" s="507"/>
      <c r="E139" s="160"/>
      <c r="F139" s="160"/>
      <c r="G139" s="160"/>
      <c r="H139" s="507"/>
      <c r="I139" s="198"/>
      <c r="J139" s="871" t="s">
        <v>152</v>
      </c>
      <c r="K139" s="872"/>
      <c r="L139" s="872"/>
      <c r="M139" s="873"/>
      <c r="N139" s="466"/>
    </row>
    <row r="140" spans="2:14" ht="15.75" hidden="1" customHeight="1" thickBot="1" x14ac:dyDescent="0.25">
      <c r="B140" s="840" t="s">
        <v>84</v>
      </c>
      <c r="C140" s="841"/>
      <c r="D140" s="841"/>
      <c r="E140" s="841"/>
      <c r="F140" s="841"/>
      <c r="G140" s="842"/>
      <c r="H140" s="507"/>
      <c r="I140" s="198"/>
      <c r="J140" s="874"/>
      <c r="K140" s="875"/>
      <c r="L140" s="875"/>
      <c r="M140" s="876"/>
      <c r="N140" s="467"/>
    </row>
    <row r="141" spans="2:14" ht="15.75" hidden="1" customHeight="1" thickBot="1" x14ac:dyDescent="0.25">
      <c r="B141" s="846"/>
      <c r="C141" s="847"/>
      <c r="D141" s="847"/>
      <c r="E141" s="847"/>
      <c r="F141" s="847"/>
      <c r="G141" s="848"/>
      <c r="H141" s="507"/>
      <c r="I141" s="198"/>
      <c r="J141" s="91" t="s">
        <v>135</v>
      </c>
      <c r="K141" s="92" t="s">
        <v>136</v>
      </c>
      <c r="L141" s="92" t="s">
        <v>137</v>
      </c>
      <c r="M141" s="468" t="s">
        <v>525</v>
      </c>
      <c r="N141" s="469"/>
    </row>
    <row r="142" spans="2:14" ht="15.75" hidden="1" customHeight="1" x14ac:dyDescent="0.2">
      <c r="B142" s="199" t="s">
        <v>81</v>
      </c>
      <c r="C142" s="200"/>
      <c r="D142" s="200"/>
      <c r="E142" s="200"/>
      <c r="F142" s="200"/>
      <c r="G142" s="201" t="s">
        <v>82</v>
      </c>
      <c r="H142" s="507"/>
      <c r="I142" s="198"/>
      <c r="J142" s="88">
        <v>0.1</v>
      </c>
      <c r="K142" s="87">
        <v>2.5532300000000001</v>
      </c>
      <c r="L142" s="87">
        <v>-0.61512</v>
      </c>
      <c r="M142" s="470">
        <v>-0.16403000000000001</v>
      </c>
      <c r="N142" s="469"/>
    </row>
    <row r="143" spans="2:14" ht="15" hidden="1" customHeight="1" x14ac:dyDescent="0.2">
      <c r="B143" s="178" t="s">
        <v>91</v>
      </c>
      <c r="C143" s="146"/>
      <c r="D143" s="146"/>
      <c r="E143" s="146"/>
      <c r="F143" s="146"/>
      <c r="G143" s="202">
        <v>1.0999999999999999E-2</v>
      </c>
      <c r="H143" s="507"/>
      <c r="I143" s="198"/>
      <c r="J143" s="88">
        <v>0.3</v>
      </c>
      <c r="K143" s="87">
        <v>2.4653200000000002</v>
      </c>
      <c r="L143" s="87">
        <v>-0.62256999999999996</v>
      </c>
      <c r="M143" s="470">
        <v>-0.11656999999999999</v>
      </c>
      <c r="N143" s="469"/>
    </row>
    <row r="144" spans="2:14" ht="15" hidden="1" customHeight="1" x14ac:dyDescent="0.2">
      <c r="B144" s="178" t="s">
        <v>83</v>
      </c>
      <c r="C144" s="146"/>
      <c r="D144" s="146"/>
      <c r="E144" s="146"/>
      <c r="F144" s="146"/>
      <c r="G144" s="202">
        <v>0.24</v>
      </c>
      <c r="H144" s="507"/>
      <c r="I144" s="198"/>
      <c r="J144" s="88">
        <v>0.35</v>
      </c>
      <c r="K144" s="87">
        <v>2.4189600000000002</v>
      </c>
      <c r="L144" s="87">
        <v>-0.61594000000000004</v>
      </c>
      <c r="M144" s="470">
        <v>-8.8200000000000001E-2</v>
      </c>
      <c r="N144" s="469"/>
    </row>
    <row r="145" spans="2:14" ht="15.75" hidden="1" customHeight="1" thickBot="1" x14ac:dyDescent="0.25">
      <c r="B145" s="203" t="s">
        <v>13</v>
      </c>
      <c r="C145" s="204"/>
      <c r="D145" s="204"/>
      <c r="E145" s="204"/>
      <c r="F145" s="204"/>
      <c r="G145" s="205">
        <v>0.4</v>
      </c>
      <c r="H145" s="507"/>
      <c r="I145" s="198"/>
      <c r="J145" s="88">
        <v>0.4</v>
      </c>
      <c r="K145" s="87">
        <v>2.36409</v>
      </c>
      <c r="L145" s="87">
        <v>-0.59857000000000005</v>
      </c>
      <c r="M145" s="470">
        <v>-5.6210000000000003E-2</v>
      </c>
      <c r="N145" s="471"/>
    </row>
    <row r="146" spans="2:14" ht="15.75" hidden="1" customHeight="1" thickBot="1" x14ac:dyDescent="0.25">
      <c r="B146" s="507"/>
      <c r="C146" s="507"/>
      <c r="D146" s="507"/>
      <c r="E146" s="160"/>
      <c r="F146" s="160"/>
      <c r="G146" s="160"/>
      <c r="H146" s="507"/>
      <c r="I146" s="198"/>
      <c r="J146" s="88">
        <v>0.45</v>
      </c>
      <c r="K146" s="87">
        <v>2.2923800000000001</v>
      </c>
      <c r="L146" s="87">
        <v>-0.57004999999999995</v>
      </c>
      <c r="M146" s="470">
        <v>-2.281E-2</v>
      </c>
      <c r="N146" s="472"/>
    </row>
    <row r="147" spans="2:14" ht="15.75" hidden="1" customHeight="1" thickBot="1" x14ac:dyDescent="0.25">
      <c r="B147" s="840" t="s">
        <v>216</v>
      </c>
      <c r="C147" s="841"/>
      <c r="D147" s="841"/>
      <c r="E147" s="841"/>
      <c r="F147" s="841"/>
      <c r="G147" s="842"/>
      <c r="H147" s="507"/>
      <c r="I147" s="198"/>
      <c r="J147" s="89">
        <v>0.5</v>
      </c>
      <c r="K147" s="90">
        <v>2.20282</v>
      </c>
      <c r="L147" s="90">
        <v>-0.51598999999999995</v>
      </c>
      <c r="M147" s="473">
        <v>-1.259E-2</v>
      </c>
      <c r="N147" s="474"/>
    </row>
    <row r="148" spans="2:14" ht="15.75" hidden="1" customHeight="1" thickBot="1" x14ac:dyDescent="0.25">
      <c r="B148" s="843"/>
      <c r="C148" s="844"/>
      <c r="D148" s="844"/>
      <c r="E148" s="844"/>
      <c r="F148" s="844"/>
      <c r="G148" s="845"/>
      <c r="H148" s="507"/>
      <c r="I148" s="198"/>
      <c r="J148" s="105"/>
      <c r="K148" s="112"/>
      <c r="L148" s="107"/>
      <c r="M148" s="106"/>
      <c r="N148" s="474"/>
    </row>
    <row r="149" spans="2:14" ht="15.75" hidden="1" customHeight="1" thickBot="1" x14ac:dyDescent="0.25">
      <c r="B149" s="846"/>
      <c r="C149" s="847"/>
      <c r="D149" s="847"/>
      <c r="E149" s="847"/>
      <c r="F149" s="847"/>
      <c r="G149" s="848"/>
      <c r="H149" s="507"/>
      <c r="I149" s="877" t="s">
        <v>148</v>
      </c>
      <c r="J149" s="841"/>
      <c r="K149" s="841"/>
      <c r="L149" s="841"/>
      <c r="M149" s="841"/>
      <c r="N149" s="878"/>
    </row>
    <row r="150" spans="2:14" ht="15.75" hidden="1" customHeight="1" x14ac:dyDescent="0.25">
      <c r="B150" s="207" t="s">
        <v>117</v>
      </c>
      <c r="C150" s="512"/>
      <c r="D150" s="512"/>
      <c r="E150" s="512"/>
      <c r="F150" s="512"/>
      <c r="G150" s="208" t="s">
        <v>82</v>
      </c>
      <c r="H150" s="507"/>
      <c r="I150" s="879"/>
      <c r="J150" s="844"/>
      <c r="K150" s="844"/>
      <c r="L150" s="844"/>
      <c r="M150" s="844"/>
      <c r="N150" s="880"/>
    </row>
    <row r="151" spans="2:14" ht="15.75" hidden="1" customHeight="1" thickBot="1" x14ac:dyDescent="0.25">
      <c r="B151" s="509" t="s">
        <v>118</v>
      </c>
      <c r="C151" s="506"/>
      <c r="D151" s="506"/>
      <c r="E151" s="506"/>
      <c r="F151" s="506"/>
      <c r="G151" s="202">
        <v>1.6E-2</v>
      </c>
      <c r="H151" s="507"/>
      <c r="I151" s="881"/>
      <c r="J151" s="847"/>
      <c r="K151" s="847"/>
      <c r="L151" s="847"/>
      <c r="M151" s="847"/>
      <c r="N151" s="882"/>
    </row>
    <row r="152" spans="2:14" ht="18.75" hidden="1" customHeight="1" x14ac:dyDescent="0.25">
      <c r="B152" s="509" t="s">
        <v>119</v>
      </c>
      <c r="C152" s="506"/>
      <c r="D152" s="506"/>
      <c r="E152" s="506"/>
      <c r="F152" s="506"/>
      <c r="G152" s="202">
        <v>1.2E-2</v>
      </c>
      <c r="H152" s="507"/>
      <c r="I152" s="209" t="s">
        <v>147</v>
      </c>
      <c r="J152" s="512"/>
      <c r="K152" s="512"/>
      <c r="L152" s="197"/>
      <c r="M152" s="512"/>
      <c r="N152" s="475" t="s">
        <v>526</v>
      </c>
    </row>
    <row r="153" spans="2:14" ht="15" hidden="1" customHeight="1" x14ac:dyDescent="0.2">
      <c r="B153" s="509" t="s">
        <v>120</v>
      </c>
      <c r="C153" s="506"/>
      <c r="D153" s="506"/>
      <c r="E153" s="506"/>
      <c r="F153" s="506"/>
      <c r="G153" s="202">
        <v>1.4E-2</v>
      </c>
      <c r="H153" s="507"/>
      <c r="I153" s="210">
        <v>0</v>
      </c>
      <c r="J153" s="506"/>
      <c r="K153" s="506"/>
      <c r="L153" s="160" t="s">
        <v>153</v>
      </c>
      <c r="M153" s="506"/>
      <c r="N153" s="476">
        <v>1</v>
      </c>
    </row>
    <row r="154" spans="2:14" ht="15" hidden="1" customHeight="1" x14ac:dyDescent="0.2">
      <c r="B154" s="509" t="s">
        <v>83</v>
      </c>
      <c r="C154" s="506"/>
      <c r="D154" s="506"/>
      <c r="E154" s="506"/>
      <c r="F154" s="506"/>
      <c r="G154" s="202">
        <v>3.5000000000000003E-2</v>
      </c>
      <c r="H154" s="507"/>
      <c r="I154" s="210">
        <v>0.2</v>
      </c>
      <c r="J154" s="506"/>
      <c r="K154" s="506"/>
      <c r="L154" s="159" t="s">
        <v>157</v>
      </c>
      <c r="M154" s="506"/>
      <c r="N154" s="477">
        <v>0.97</v>
      </c>
    </row>
    <row r="155" spans="2:14" ht="15" hidden="1" customHeight="1" x14ac:dyDescent="0.2">
      <c r="B155" s="509" t="s">
        <v>122</v>
      </c>
      <c r="C155" s="506"/>
      <c r="D155" s="506"/>
      <c r="E155" s="506"/>
      <c r="F155" s="506"/>
      <c r="G155" s="202">
        <v>3.3000000000000002E-2</v>
      </c>
      <c r="H155" s="507"/>
      <c r="I155" s="210">
        <v>1</v>
      </c>
      <c r="J155" s="506"/>
      <c r="K155" s="506"/>
      <c r="L155" s="159" t="s">
        <v>156</v>
      </c>
      <c r="M155" s="506"/>
      <c r="N155" s="477">
        <v>0.87</v>
      </c>
    </row>
    <row r="156" spans="2:14" ht="15.75" hidden="1" customHeight="1" thickBot="1" x14ac:dyDescent="0.25">
      <c r="B156" s="211" t="s">
        <v>121</v>
      </c>
      <c r="C156" s="501"/>
      <c r="D156" s="501"/>
      <c r="E156" s="501"/>
      <c r="F156" s="501"/>
      <c r="G156" s="213">
        <v>0.04</v>
      </c>
      <c r="H156" s="507"/>
      <c r="I156" s="210">
        <v>3</v>
      </c>
      <c r="J156" s="506"/>
      <c r="K156" s="506"/>
      <c r="L156" s="159" t="s">
        <v>155</v>
      </c>
      <c r="M156" s="506"/>
      <c r="N156" s="477">
        <v>0.75</v>
      </c>
    </row>
    <row r="157" spans="2:14" ht="15" hidden="1" customHeight="1" x14ac:dyDescent="0.2">
      <c r="B157" s="507"/>
      <c r="C157" s="507"/>
      <c r="D157" s="507"/>
      <c r="E157" s="160"/>
      <c r="F157" s="160"/>
      <c r="G157" s="160"/>
      <c r="H157" s="507"/>
      <c r="I157" s="210">
        <v>5</v>
      </c>
      <c r="J157" s="506"/>
      <c r="K157" s="506"/>
      <c r="L157" s="214" t="s">
        <v>154</v>
      </c>
      <c r="M157" s="506"/>
      <c r="N157" s="477">
        <v>0.72</v>
      </c>
    </row>
    <row r="158" spans="2:14" ht="15.75" hidden="1" customHeight="1" x14ac:dyDescent="0.25">
      <c r="B158" s="215" t="s">
        <v>46</v>
      </c>
      <c r="C158" s="216"/>
      <c r="D158" s="216"/>
      <c r="E158" s="217"/>
      <c r="F158" s="217"/>
      <c r="G158" s="217"/>
      <c r="H158" s="216"/>
      <c r="I158" s="218"/>
      <c r="J158" s="117"/>
      <c r="K158" s="116"/>
      <c r="L158" s="107"/>
      <c r="M158" s="478"/>
      <c r="N158" s="474"/>
    </row>
    <row r="159" spans="2:14" ht="15.75" hidden="1" customHeight="1" thickBot="1" x14ac:dyDescent="0.25">
      <c r="B159" s="219" t="s">
        <v>102</v>
      </c>
      <c r="C159" s="216"/>
      <c r="D159" s="216"/>
      <c r="E159" s="217"/>
      <c r="F159" s="217"/>
      <c r="G159" s="217"/>
      <c r="H159" s="216"/>
      <c r="I159" s="220"/>
      <c r="J159" s="118"/>
      <c r="K159" s="119"/>
      <c r="L159" s="108"/>
      <c r="M159" s="479"/>
      <c r="N159" s="480"/>
    </row>
    <row r="160" spans="2:14" ht="15.75" hidden="1" customHeight="1" thickTop="1" x14ac:dyDescent="0.2">
      <c r="B160" s="219" t="s">
        <v>103</v>
      </c>
      <c r="C160" s="216"/>
      <c r="D160" s="216"/>
      <c r="E160" s="217"/>
      <c r="F160" s="217"/>
      <c r="G160" s="217"/>
      <c r="H160" s="216"/>
      <c r="I160" s="216"/>
      <c r="J160" s="117"/>
      <c r="K160" s="120"/>
      <c r="L160" s="109"/>
    </row>
    <row r="161" spans="2:14" ht="15" hidden="1" customHeight="1" x14ac:dyDescent="0.2">
      <c r="B161" s="216"/>
      <c r="C161" s="216"/>
      <c r="D161" s="216"/>
      <c r="E161" s="217"/>
      <c r="F161" s="217"/>
      <c r="G161" s="217"/>
      <c r="H161" s="216"/>
      <c r="I161" s="117"/>
      <c r="J161" s="107"/>
      <c r="K161" s="106"/>
      <c r="L161" s="110"/>
    </row>
    <row r="162" spans="2:14" ht="15.75" hidden="1" customHeight="1" thickBot="1" x14ac:dyDescent="0.25">
      <c r="B162" s="216"/>
      <c r="C162" s="217"/>
      <c r="D162" s="217"/>
      <c r="E162" s="217"/>
      <c r="F162" s="216"/>
      <c r="G162" s="216"/>
      <c r="H162" s="117"/>
      <c r="I162" s="111"/>
      <c r="J162" s="105"/>
      <c r="K162" s="206"/>
      <c r="L162" s="507"/>
    </row>
    <row r="163" spans="2:14" ht="16.5" hidden="1" customHeight="1" thickBot="1" x14ac:dyDescent="0.3">
      <c r="B163" s="852" t="s">
        <v>206</v>
      </c>
      <c r="C163" s="853"/>
      <c r="D163" s="853"/>
      <c r="E163" s="853"/>
      <c r="F163" s="854"/>
      <c r="G163" s="514"/>
      <c r="H163" s="514"/>
      <c r="I163" s="507"/>
      <c r="J163" s="542"/>
      <c r="K163" s="543" t="s">
        <v>532</v>
      </c>
      <c r="L163" s="544"/>
    </row>
    <row r="164" spans="2:14" ht="15" hidden="1" customHeight="1" x14ac:dyDescent="0.2">
      <c r="B164" s="517"/>
      <c r="C164" s="510"/>
      <c r="D164" s="510"/>
      <c r="E164" s="510"/>
      <c r="F164" s="518"/>
      <c r="G164" s="514"/>
      <c r="H164" s="514"/>
      <c r="I164" s="507"/>
      <c r="J164" s="530"/>
      <c r="K164" s="512"/>
      <c r="L164" s="522"/>
    </row>
    <row r="165" spans="2:14" ht="19.5" hidden="1" customHeight="1" x14ac:dyDescent="0.35">
      <c r="B165" s="509" t="s">
        <v>533</v>
      </c>
      <c r="C165" s="510"/>
      <c r="D165" s="510"/>
      <c r="E165" s="510"/>
      <c r="F165" s="518"/>
      <c r="G165" s="508"/>
      <c r="H165" s="514"/>
      <c r="I165" s="507"/>
      <c r="J165" s="509" t="s">
        <v>534</v>
      </c>
      <c r="K165" s="506"/>
      <c r="L165" s="513"/>
    </row>
    <row r="166" spans="2:14" ht="15" hidden="1" customHeight="1" x14ac:dyDescent="0.2">
      <c r="B166" s="509"/>
      <c r="C166" s="510"/>
      <c r="D166" s="510"/>
      <c r="E166" s="510"/>
      <c r="F166" s="518"/>
      <c r="G166" s="508"/>
      <c r="H166" s="514"/>
      <c r="I166" s="507"/>
      <c r="J166" s="509" t="s">
        <v>535</v>
      </c>
      <c r="K166" s="506"/>
      <c r="L166" s="513"/>
    </row>
    <row r="167" spans="2:14" ht="15" hidden="1" customHeight="1" x14ac:dyDescent="0.2">
      <c r="B167" s="524" t="s">
        <v>536</v>
      </c>
      <c r="C167" s="549">
        <f>SUM(H25:K26)</f>
        <v>0</v>
      </c>
      <c r="D167" s="510"/>
      <c r="E167" s="524" t="s">
        <v>537</v>
      </c>
      <c r="F167" s="533">
        <f>SUM(H17:K24)</f>
        <v>0</v>
      </c>
      <c r="G167" s="547" t="s">
        <v>538</v>
      </c>
      <c r="H167" s="514"/>
      <c r="I167" s="507"/>
      <c r="J167" s="509" t="s">
        <v>539</v>
      </c>
      <c r="K167" s="506"/>
      <c r="L167" s="513"/>
    </row>
    <row r="168" spans="2:14" ht="19.5" hidden="1" customHeight="1" x14ac:dyDescent="0.35">
      <c r="B168" s="519" t="s">
        <v>540</v>
      </c>
      <c r="C168" s="515">
        <f>(1000/98)-10</f>
        <v>0.20408163265306101</v>
      </c>
      <c r="D168" s="510"/>
      <c r="E168" s="505" t="s">
        <v>380</v>
      </c>
      <c r="F168" s="520" t="e">
        <f>IF(I109&gt;64,(1000/I109)-10,0)</f>
        <v>#DIV/0!</v>
      </c>
      <c r="G168" s="514"/>
      <c r="H168" s="514"/>
      <c r="I168" s="507"/>
      <c r="J168" s="509" t="s">
        <v>541</v>
      </c>
      <c r="K168" s="506"/>
      <c r="L168" s="513"/>
    </row>
    <row r="169" spans="2:14" ht="20.25" hidden="1" customHeight="1" thickBot="1" x14ac:dyDescent="0.25">
      <c r="B169" s="519" t="s">
        <v>542</v>
      </c>
      <c r="C169" s="516">
        <f>(1-(0.2*$C$168))^2/(1+(0.8*$C$168))</f>
        <v>0.79090583601861819</v>
      </c>
      <c r="D169" s="510"/>
      <c r="E169" s="505" t="s">
        <v>381</v>
      </c>
      <c r="F169" s="548" t="e">
        <f>IF(I109&gt;64,(1-(0.2*F168))^2/(1+(0.8*F168)),0)</f>
        <v>#DIV/0!</v>
      </c>
      <c r="G169" s="514"/>
      <c r="H169" s="514"/>
      <c r="I169" s="523"/>
      <c r="J169" s="538"/>
      <c r="K169" s="511" t="s">
        <v>543</v>
      </c>
      <c r="L169" s="539" t="e">
        <f>(SUM(H25:K26))/H9</f>
        <v>#DIV/0!</v>
      </c>
      <c r="M169" s="507" t="s">
        <v>544</v>
      </c>
    </row>
    <row r="170" spans="2:14" s="497" customFormat="1" ht="24" hidden="1" customHeight="1" thickBot="1" x14ac:dyDescent="0.4">
      <c r="B170" s="524" t="s">
        <v>545</v>
      </c>
      <c r="C170" s="545">
        <f>(C169/12)*(C167*43560)</f>
        <v>0</v>
      </c>
      <c r="D170" s="511"/>
      <c r="E170" s="511" t="s">
        <v>545</v>
      </c>
      <c r="F170" s="546" t="e">
        <f>(F169/12)*(F167*43560)</f>
        <v>#DIV/0!</v>
      </c>
      <c r="G170" s="530" t="s">
        <v>546</v>
      </c>
      <c r="H170" s="521"/>
      <c r="I170" s="536"/>
      <c r="J170" s="540"/>
      <c r="K170" s="511" t="s">
        <v>547</v>
      </c>
      <c r="L170" s="539" t="e">
        <f>0.05+(0.9*L169)</f>
        <v>#DIV/0!</v>
      </c>
      <c r="M170" s="523"/>
      <c r="N170" s="523"/>
    </row>
    <row r="171" spans="2:14" s="497" customFormat="1" ht="24" hidden="1" customHeight="1" thickBot="1" x14ac:dyDescent="0.4">
      <c r="B171" s="524" t="s">
        <v>382</v>
      </c>
      <c r="C171" s="525" t="e">
        <f>(C169*C167+F169*F167)/H10</f>
        <v>#DIV/0!</v>
      </c>
      <c r="D171" s="526"/>
      <c r="E171" s="510"/>
      <c r="F171" s="518"/>
      <c r="G171" s="552" t="e">
        <f>C170+F170</f>
        <v>#DIV/0!</v>
      </c>
      <c r="H171" s="532"/>
      <c r="I171" s="506" t="s">
        <v>548</v>
      </c>
      <c r="J171" s="540"/>
      <c r="K171" s="534" t="s">
        <v>549</v>
      </c>
      <c r="L171" s="535" t="e">
        <f>3630*1*L170*H9</f>
        <v>#DIV/0!</v>
      </c>
      <c r="M171" s="523"/>
      <c r="N171" s="523"/>
    </row>
    <row r="172" spans="2:14" s="497" customFormat="1" ht="15.75" hidden="1" customHeight="1" thickBot="1" x14ac:dyDescent="0.25">
      <c r="B172" s="527"/>
      <c r="C172" s="528"/>
      <c r="D172" s="528"/>
      <c r="E172" s="528"/>
      <c r="F172" s="529"/>
      <c r="G172" s="527"/>
      <c r="H172" s="528"/>
      <c r="I172" s="537"/>
      <c r="J172" s="541"/>
      <c r="K172" s="537"/>
      <c r="L172" s="531"/>
      <c r="M172" s="523"/>
      <c r="N172" s="523"/>
    </row>
    <row r="173" spans="2:14" s="497" customFormat="1" ht="15" hidden="1" customHeight="1" x14ac:dyDescent="0.2">
      <c r="B173" s="868" t="s">
        <v>161</v>
      </c>
      <c r="C173" s="868"/>
      <c r="D173" s="868"/>
      <c r="E173" s="868"/>
      <c r="F173" s="523"/>
      <c r="G173" s="523"/>
      <c r="H173" s="523"/>
      <c r="I173" s="523"/>
      <c r="J173" s="523"/>
      <c r="K173" s="523"/>
      <c r="L173" s="523"/>
      <c r="M173" s="523"/>
      <c r="N173" s="523"/>
    </row>
    <row r="174" spans="2:14" s="497" customFormat="1" ht="15.75" hidden="1" customHeight="1" thickBot="1" x14ac:dyDescent="0.25">
      <c r="B174" s="868"/>
      <c r="C174" s="868"/>
      <c r="D174" s="868"/>
      <c r="E174" s="868"/>
      <c r="F174" s="523"/>
      <c r="G174" s="523"/>
      <c r="H174" s="523"/>
      <c r="I174" s="507"/>
      <c r="J174" s="523"/>
      <c r="K174" s="523"/>
      <c r="L174" s="523"/>
      <c r="M174" s="523"/>
      <c r="N174" s="523"/>
    </row>
    <row r="175" spans="2:14" s="497" customFormat="1" ht="16.5" hidden="1" customHeight="1" thickBot="1" x14ac:dyDescent="0.3">
      <c r="B175" s="351"/>
      <c r="C175" s="352"/>
      <c r="D175" s="353"/>
      <c r="E175" s="351"/>
      <c r="F175" s="523"/>
      <c r="G175" s="523"/>
      <c r="H175" s="523"/>
      <c r="I175" s="507" t="s">
        <v>550</v>
      </c>
      <c r="J175" s="523"/>
      <c r="K175" s="551" t="e">
        <f>IF(G171&gt;L171,G171,L171)</f>
        <v>#DIV/0!</v>
      </c>
      <c r="L175" s="507" t="s">
        <v>551</v>
      </c>
      <c r="M175" s="523"/>
      <c r="N175" s="523"/>
    </row>
    <row r="176" spans="2:14" s="497" customFormat="1" ht="19.5" hidden="1" customHeight="1" x14ac:dyDescent="0.2">
      <c r="B176" s="833" t="s">
        <v>227</v>
      </c>
      <c r="C176" s="833"/>
      <c r="D176" s="833"/>
      <c r="E176" s="833"/>
      <c r="F176" s="507"/>
      <c r="G176" s="523"/>
      <c r="H176" s="349"/>
      <c r="I176" s="350"/>
      <c r="J176" s="523"/>
      <c r="K176" s="523"/>
      <c r="L176" s="523"/>
      <c r="M176" s="523"/>
      <c r="N176" s="523"/>
    </row>
    <row r="177" spans="2:14" s="497" customFormat="1" ht="15" hidden="1" customHeight="1" x14ac:dyDescent="0.2">
      <c r="B177" s="834" t="s">
        <v>33</v>
      </c>
      <c r="C177" s="834"/>
      <c r="D177" s="834"/>
      <c r="E177" s="834"/>
      <c r="F177" s="523"/>
      <c r="G177" s="523"/>
      <c r="H177" s="523"/>
      <c r="I177" s="523"/>
      <c r="J177" s="523"/>
      <c r="K177" s="523"/>
      <c r="L177" s="523"/>
      <c r="M177" s="523"/>
      <c r="N177" s="523"/>
    </row>
    <row r="178" spans="2:14" s="497" customFormat="1" ht="19.5" hidden="1" customHeight="1" x14ac:dyDescent="0.2">
      <c r="B178" s="833" t="s">
        <v>228</v>
      </c>
      <c r="C178" s="833"/>
      <c r="D178" s="833"/>
      <c r="E178" s="833"/>
      <c r="F178" s="523"/>
      <c r="G178" s="523"/>
      <c r="H178" s="523"/>
      <c r="I178" s="523"/>
      <c r="J178" s="523"/>
      <c r="K178" s="523"/>
      <c r="L178" s="523"/>
      <c r="M178" s="523"/>
      <c r="N178" s="523"/>
    </row>
    <row r="179" spans="2:14" s="497" customFormat="1" ht="19.5" hidden="1" customHeight="1" x14ac:dyDescent="0.2">
      <c r="B179" s="833" t="s">
        <v>224</v>
      </c>
      <c r="C179" s="833"/>
      <c r="D179" s="833"/>
      <c r="E179" s="833"/>
      <c r="F179" s="523"/>
      <c r="G179" s="523"/>
      <c r="H179" s="523"/>
      <c r="I179" s="523"/>
      <c r="J179" s="523"/>
      <c r="K179" s="523"/>
      <c r="L179" s="523"/>
      <c r="M179" s="523"/>
      <c r="N179" s="523"/>
    </row>
    <row r="180" spans="2:14" s="497" customFormat="1" ht="19.5" hidden="1" customHeight="1" x14ac:dyDescent="0.2">
      <c r="B180" s="833" t="s">
        <v>162</v>
      </c>
      <c r="C180" s="833"/>
      <c r="D180" s="833"/>
      <c r="E180" s="833"/>
      <c r="F180" s="523"/>
      <c r="G180" s="523"/>
      <c r="H180" s="523"/>
      <c r="I180" s="523"/>
      <c r="J180" s="523"/>
      <c r="K180" s="523"/>
      <c r="L180" s="523"/>
      <c r="M180" s="523"/>
      <c r="N180" s="523"/>
    </row>
    <row r="181" spans="2:14" s="497" customFormat="1" ht="15" hidden="1" customHeight="1" x14ac:dyDescent="0.2">
      <c r="B181" s="835" t="s">
        <v>163</v>
      </c>
      <c r="C181" s="835"/>
      <c r="D181" s="835"/>
      <c r="E181" s="835"/>
      <c r="F181" s="523"/>
      <c r="G181" s="523"/>
      <c r="H181" s="523"/>
      <c r="I181" s="523"/>
      <c r="J181" s="523"/>
      <c r="K181" s="523"/>
      <c r="L181" s="523"/>
      <c r="M181" s="523"/>
      <c r="N181" s="523"/>
    </row>
    <row r="182" spans="2:14" s="497" customFormat="1" ht="15" hidden="1" customHeight="1" x14ac:dyDescent="0.2">
      <c r="B182" s="523"/>
      <c r="C182" s="523"/>
      <c r="D182" s="523"/>
      <c r="E182" s="523"/>
      <c r="F182" s="523"/>
      <c r="G182" s="523"/>
      <c r="H182" s="523"/>
      <c r="I182" s="523"/>
      <c r="J182" s="523"/>
      <c r="K182" s="523"/>
      <c r="L182" s="523"/>
      <c r="M182" s="523"/>
      <c r="N182" s="523"/>
    </row>
    <row r="183" spans="2:14" s="497" customFormat="1" ht="19.5" hidden="1" customHeight="1" x14ac:dyDescent="0.2">
      <c r="B183" s="354" t="s">
        <v>225</v>
      </c>
      <c r="C183" s="355" t="e">
        <f>$H$74</f>
        <v>#DIV/0!</v>
      </c>
      <c r="D183" s="356"/>
      <c r="E183" s="356"/>
      <c r="F183" s="523"/>
      <c r="G183" s="523"/>
      <c r="H183" s="523"/>
      <c r="I183" s="523"/>
      <c r="J183" s="523"/>
      <c r="K183" s="523"/>
      <c r="L183" s="523"/>
      <c r="M183" s="523"/>
      <c r="N183" s="523"/>
    </row>
    <row r="184" spans="2:14" s="139" customFormat="1" ht="19.5" hidden="1" customHeight="1" x14ac:dyDescent="0.2">
      <c r="B184" s="354" t="s">
        <v>164</v>
      </c>
      <c r="C184" s="160" t="e">
        <f>ROUND((C183-(C186/100)*98)/(1-(C186/100)),2)</f>
        <v>#DIV/0!</v>
      </c>
      <c r="D184" s="356"/>
      <c r="E184" s="356"/>
      <c r="F184" s="507"/>
      <c r="G184" s="507"/>
      <c r="H184" s="507"/>
      <c r="I184" s="507"/>
      <c r="J184" s="507"/>
      <c r="K184" s="507"/>
      <c r="L184" s="507"/>
      <c r="M184" s="507"/>
      <c r="N184" s="507"/>
    </row>
    <row r="185" spans="2:14" s="139" customFormat="1" ht="19.5" hidden="1" customHeight="1" x14ac:dyDescent="0.2">
      <c r="B185" s="354" t="s">
        <v>165</v>
      </c>
      <c r="C185" s="357" t="e">
        <f>SUM(H25:K26)/SUM(H17:K26)</f>
        <v>#DIV/0!</v>
      </c>
      <c r="D185" s="358">
        <v>0.3</v>
      </c>
      <c r="E185" s="359"/>
      <c r="F185" s="507"/>
      <c r="G185" s="507"/>
      <c r="H185" s="507"/>
      <c r="I185" s="507"/>
      <c r="J185" s="507"/>
      <c r="K185" s="507"/>
      <c r="L185" s="507"/>
      <c r="M185" s="507"/>
      <c r="N185" s="507"/>
    </row>
    <row r="186" spans="2:14" s="139" customFormat="1" ht="34.5" hidden="1" customHeight="1" x14ac:dyDescent="0.2">
      <c r="B186" s="360" t="s">
        <v>317</v>
      </c>
      <c r="C186" s="357" t="e">
        <f>IF(C185&gt;D185,D185,C185)</f>
        <v>#DIV/0!</v>
      </c>
      <c r="D186" s="359"/>
      <c r="E186" s="359"/>
      <c r="F186" s="507"/>
      <c r="G186" s="507"/>
      <c r="H186" s="507"/>
      <c r="I186" s="507"/>
      <c r="J186" s="507"/>
      <c r="K186" s="507"/>
      <c r="L186" s="507"/>
      <c r="M186" s="507"/>
      <c r="N186" s="507"/>
    </row>
    <row r="187" spans="2:14" s="139" customFormat="1" ht="15" hidden="1" customHeight="1" x14ac:dyDescent="0.2">
      <c r="B187" s="354" t="s">
        <v>166</v>
      </c>
      <c r="C187" s="361" t="str">
        <f>IF(D76&gt;0,(D76/(SUM($H$25:$K$26))),"-")</f>
        <v>-</v>
      </c>
      <c r="D187" s="362"/>
      <c r="E187" s="362"/>
      <c r="F187" s="362"/>
      <c r="G187" s="362"/>
      <c r="H187" s="362"/>
      <c r="I187" s="362"/>
      <c r="J187" s="362"/>
      <c r="K187" s="506"/>
      <c r="L187" s="507"/>
      <c r="M187" s="507"/>
      <c r="N187" s="507"/>
    </row>
    <row r="188" spans="2:14" s="139" customFormat="1" ht="19.5" hidden="1" customHeight="1" x14ac:dyDescent="0.2">
      <c r="B188" s="354" t="s">
        <v>229</v>
      </c>
      <c r="C188" s="160" t="e">
        <f>ROUND(C184+((C186/100)*(98-C184)*(1-(0.5*C187))),2)</f>
        <v>#DIV/0!</v>
      </c>
      <c r="D188" s="507"/>
      <c r="E188" s="507"/>
      <c r="F188" s="507"/>
      <c r="G188" s="507"/>
      <c r="H188" s="507"/>
      <c r="I188" s="507"/>
      <c r="J188" s="507"/>
      <c r="K188" s="507"/>
      <c r="L188" s="507"/>
      <c r="M188" s="507"/>
      <c r="N188" s="507"/>
    </row>
    <row r="189" spans="2:14" s="497" customFormat="1" ht="15" hidden="1" customHeight="1" x14ac:dyDescent="0.2">
      <c r="B189" s="523"/>
      <c r="C189" s="523"/>
      <c r="D189" s="523"/>
      <c r="E189" s="523"/>
      <c r="F189" s="523"/>
      <c r="G189" s="523"/>
      <c r="H189" s="523"/>
      <c r="I189" s="523"/>
      <c r="J189" s="523"/>
      <c r="K189" s="523"/>
      <c r="L189" s="523"/>
      <c r="M189" s="523"/>
      <c r="N189" s="523"/>
    </row>
    <row r="190" spans="2:14" s="497" customFormat="1" ht="15" hidden="1" customHeight="1" x14ac:dyDescent="0.2">
      <c r="B190" s="523"/>
      <c r="C190" s="523"/>
      <c r="D190" s="523"/>
      <c r="E190" s="523"/>
      <c r="F190" s="523"/>
      <c r="G190" s="523"/>
      <c r="H190" s="523"/>
      <c r="I190" s="523"/>
      <c r="J190" s="523"/>
      <c r="K190" s="523"/>
      <c r="L190" s="523"/>
      <c r="M190" s="523"/>
      <c r="N190" s="523"/>
    </row>
    <row r="191" spans="2:14" s="497" customFormat="1" ht="30" hidden="1" customHeight="1" x14ac:dyDescent="0.2">
      <c r="B191" s="413" t="s">
        <v>402</v>
      </c>
      <c r="C191" s="361">
        <f>SUM($H$26:$K$26)</f>
        <v>0</v>
      </c>
      <c r="D191" s="523"/>
      <c r="E191" s="362"/>
      <c r="F191" s="362"/>
      <c r="G191" s="362"/>
      <c r="H191" s="362"/>
      <c r="I191" s="362"/>
      <c r="J191" s="362"/>
      <c r="K191" s="362"/>
      <c r="L191" s="523"/>
      <c r="M191" s="523"/>
      <c r="N191" s="523"/>
    </row>
    <row r="192" spans="2:14" s="497" customFormat="1" ht="15" hidden="1" customHeight="1" x14ac:dyDescent="0.2">
      <c r="B192" s="523"/>
      <c r="C192" s="523"/>
      <c r="D192" s="523"/>
      <c r="E192" s="523"/>
      <c r="F192" s="523"/>
      <c r="G192" s="523"/>
      <c r="H192" s="523"/>
      <c r="I192" s="523"/>
      <c r="J192" s="523"/>
      <c r="K192" s="523"/>
      <c r="L192" s="523"/>
      <c r="M192" s="523"/>
      <c r="N192" s="523"/>
    </row>
    <row r="193" spans="2:14" s="497" customFormat="1" ht="15" hidden="1" customHeight="1" x14ac:dyDescent="0.2">
      <c r="B193" s="523"/>
      <c r="C193" s="523"/>
      <c r="D193" s="523"/>
      <c r="E193" s="523"/>
      <c r="F193" s="523"/>
      <c r="G193" s="523"/>
      <c r="H193" s="523"/>
      <c r="I193" s="523"/>
      <c r="J193" s="523"/>
      <c r="K193" s="523"/>
      <c r="L193" s="523"/>
      <c r="M193" s="523"/>
      <c r="N193" s="523"/>
    </row>
    <row r="194" spans="2:14" s="497" customFormat="1" ht="15" hidden="1" customHeight="1" x14ac:dyDescent="0.2">
      <c r="B194" s="523"/>
      <c r="C194" s="523"/>
      <c r="D194" s="523"/>
      <c r="E194" s="523"/>
      <c r="F194" s="523"/>
      <c r="G194" s="523"/>
      <c r="H194" s="523"/>
      <c r="I194" s="523"/>
      <c r="J194" s="523"/>
      <c r="K194" s="523"/>
      <c r="L194" s="523"/>
      <c r="M194" s="523"/>
      <c r="N194" s="523"/>
    </row>
    <row r="195" spans="2:14" s="497" customFormat="1" ht="15.75" thickTop="1" x14ac:dyDescent="0.2">
      <c r="B195" s="737" t="s">
        <v>435</v>
      </c>
      <c r="C195" s="737"/>
      <c r="D195" s="737"/>
      <c r="E195" s="737"/>
      <c r="F195" s="737"/>
      <c r="G195" s="737"/>
      <c r="H195" s="737"/>
      <c r="I195" s="737"/>
      <c r="J195" s="737"/>
      <c r="K195" s="737"/>
      <c r="L195" s="507"/>
      <c r="M195" s="523"/>
      <c r="N195" s="523"/>
    </row>
    <row r="196" spans="2:14" x14ac:dyDescent="0.2">
      <c r="B196" s="737"/>
      <c r="C196" s="737"/>
      <c r="D196" s="737"/>
      <c r="E196" s="737"/>
      <c r="F196" s="737"/>
      <c r="G196" s="737"/>
      <c r="H196" s="737"/>
      <c r="I196" s="737"/>
      <c r="J196" s="737"/>
      <c r="K196" s="737"/>
      <c r="L196" s="507"/>
    </row>
    <row r="197" spans="2:14" ht="15.75" x14ac:dyDescent="0.2">
      <c r="B197" s="738" t="s">
        <v>436</v>
      </c>
      <c r="C197" s="738"/>
      <c r="D197" s="738"/>
      <c r="E197" s="738"/>
      <c r="F197" s="738"/>
      <c r="G197" s="738"/>
      <c r="H197" s="738"/>
      <c r="I197" s="738"/>
      <c r="J197" s="738"/>
      <c r="K197" s="738"/>
      <c r="L197" s="507"/>
    </row>
    <row r="198" spans="2:14" x14ac:dyDescent="0.2">
      <c r="B198" s="737" t="s">
        <v>437</v>
      </c>
      <c r="C198" s="737"/>
      <c r="D198" s="737"/>
      <c r="E198" s="737"/>
      <c r="F198" s="737"/>
      <c r="G198" s="737"/>
      <c r="H198" s="737"/>
      <c r="I198" s="737"/>
      <c r="J198" s="737"/>
      <c r="K198" s="737"/>
      <c r="L198" s="507"/>
    </row>
    <row r="199" spans="2:14" x14ac:dyDescent="0.2">
      <c r="B199" s="737"/>
      <c r="C199" s="737"/>
      <c r="D199" s="737"/>
      <c r="E199" s="737"/>
      <c r="F199" s="737"/>
      <c r="G199" s="737"/>
      <c r="H199" s="737"/>
      <c r="I199" s="737"/>
      <c r="J199" s="737"/>
      <c r="K199" s="737"/>
    </row>
    <row r="200" spans="2:14" x14ac:dyDescent="0.2">
      <c r="B200" s="507"/>
      <c r="C200" s="507"/>
      <c r="D200" s="507"/>
      <c r="E200" s="160"/>
      <c r="F200" s="160"/>
      <c r="G200" s="160"/>
      <c r="H200" s="507"/>
      <c r="I200" s="507"/>
      <c r="J200" s="507"/>
      <c r="K200" s="507"/>
    </row>
    <row r="201" spans="2:14" x14ac:dyDescent="0.2">
      <c r="B201" s="507"/>
      <c r="C201" s="507"/>
      <c r="D201" s="507"/>
      <c r="E201" s="160"/>
      <c r="F201" s="160"/>
      <c r="G201" s="160"/>
      <c r="H201" s="507"/>
      <c r="I201" s="507"/>
      <c r="J201" s="507"/>
      <c r="K201" s="507"/>
    </row>
    <row r="202" spans="2:14" x14ac:dyDescent="0.2">
      <c r="B202" s="507"/>
      <c r="C202" s="507"/>
      <c r="D202" s="507"/>
      <c r="E202" s="160"/>
      <c r="F202" s="160"/>
      <c r="G202" s="160"/>
      <c r="H202" s="507"/>
      <c r="I202" s="507"/>
      <c r="J202" s="507"/>
      <c r="K202" s="507"/>
    </row>
    <row r="203" spans="2:14" x14ac:dyDescent="0.2">
      <c r="B203" s="507"/>
      <c r="C203" s="507"/>
      <c r="D203" s="507"/>
      <c r="E203" s="160"/>
      <c r="F203" s="160"/>
      <c r="G203" s="160"/>
      <c r="H203" s="507"/>
      <c r="I203" s="507"/>
      <c r="J203" s="507"/>
      <c r="K203" s="507"/>
    </row>
    <row r="204" spans="2:14" x14ac:dyDescent="0.2">
      <c r="B204" s="507"/>
      <c r="C204" s="507"/>
      <c r="D204" s="507"/>
      <c r="E204" s="160"/>
      <c r="F204" s="160"/>
      <c r="G204" s="160"/>
      <c r="H204" s="507"/>
      <c r="I204" s="507"/>
      <c r="J204" s="507"/>
      <c r="K204" s="507"/>
    </row>
    <row r="205" spans="2:14" x14ac:dyDescent="0.2">
      <c r="B205" s="507"/>
      <c r="C205" s="507"/>
      <c r="D205" s="507"/>
      <c r="E205" s="160"/>
      <c r="F205" s="160"/>
      <c r="G205" s="160"/>
      <c r="H205" s="507"/>
      <c r="I205" s="507"/>
      <c r="J205" s="507"/>
      <c r="K205" s="507"/>
    </row>
    <row r="206" spans="2:14" x14ac:dyDescent="0.2">
      <c r="B206" s="507"/>
      <c r="C206" s="507"/>
      <c r="D206" s="507"/>
      <c r="E206" s="160"/>
      <c r="F206" s="160"/>
      <c r="G206" s="160"/>
      <c r="H206" s="507"/>
      <c r="I206" s="507"/>
      <c r="J206" s="507"/>
      <c r="K206" s="507"/>
    </row>
    <row r="207" spans="2:14" x14ac:dyDescent="0.2">
      <c r="B207" s="507"/>
      <c r="C207" s="507"/>
      <c r="D207" s="507"/>
      <c r="E207" s="160"/>
      <c r="F207" s="160"/>
      <c r="G207" s="160"/>
      <c r="H207" s="507"/>
      <c r="I207" s="507"/>
      <c r="J207" s="507"/>
      <c r="K207" s="507"/>
    </row>
    <row r="208" spans="2:14" x14ac:dyDescent="0.2">
      <c r="B208" s="507"/>
      <c r="C208" s="507"/>
      <c r="D208" s="507"/>
      <c r="E208" s="160"/>
      <c r="F208" s="160"/>
      <c r="G208" s="160"/>
      <c r="H208" s="507"/>
      <c r="I208" s="507"/>
      <c r="J208" s="507"/>
      <c r="K208" s="507"/>
    </row>
    <row r="209" spans="2:12" x14ac:dyDescent="0.2">
      <c r="B209" s="507"/>
      <c r="C209" s="507"/>
      <c r="D209" s="507"/>
      <c r="E209" s="160"/>
      <c r="F209" s="160"/>
      <c r="G209" s="160"/>
      <c r="H209" s="507"/>
      <c r="I209" s="507"/>
      <c r="J209" s="507"/>
      <c r="K209" s="507"/>
    </row>
    <row r="210" spans="2:12" s="507" customFormat="1" x14ac:dyDescent="0.2">
      <c r="E210" s="160"/>
      <c r="F210" s="160"/>
      <c r="G210" s="160"/>
      <c r="L210" s="160"/>
    </row>
    <row r="211" spans="2:12" s="507" customFormat="1" x14ac:dyDescent="0.2">
      <c r="E211" s="160"/>
      <c r="F211" s="160"/>
      <c r="G211" s="160"/>
      <c r="L211" s="160"/>
    </row>
    <row r="212" spans="2:12" s="507" customFormat="1" x14ac:dyDescent="0.2">
      <c r="E212" s="160"/>
      <c r="F212" s="160"/>
      <c r="G212" s="160"/>
      <c r="L212" s="160"/>
    </row>
    <row r="213" spans="2:12" s="507" customFormat="1" x14ac:dyDescent="0.2">
      <c r="E213" s="160"/>
      <c r="F213" s="160"/>
      <c r="G213" s="160"/>
      <c r="L213" s="160"/>
    </row>
    <row r="214" spans="2:12" s="507" customFormat="1" x14ac:dyDescent="0.2">
      <c r="E214" s="160"/>
      <c r="F214" s="160"/>
      <c r="G214" s="160"/>
      <c r="L214" s="160"/>
    </row>
    <row r="215" spans="2:12" s="507" customFormat="1" x14ac:dyDescent="0.2">
      <c r="E215" s="160"/>
      <c r="F215" s="160"/>
      <c r="G215" s="160"/>
      <c r="L215" s="160"/>
    </row>
    <row r="216" spans="2:12" s="507" customFormat="1" x14ac:dyDescent="0.2">
      <c r="E216" s="160"/>
      <c r="F216" s="160"/>
      <c r="G216" s="160"/>
      <c r="L216" s="160"/>
    </row>
    <row r="217" spans="2:12" s="507" customFormat="1" x14ac:dyDescent="0.2">
      <c r="E217" s="160"/>
      <c r="F217" s="160"/>
      <c r="G217" s="160"/>
      <c r="L217" s="160"/>
    </row>
    <row r="218" spans="2:12" s="507" customFormat="1" x14ac:dyDescent="0.2">
      <c r="E218" s="160"/>
      <c r="F218" s="160"/>
      <c r="G218" s="160"/>
      <c r="L218" s="160"/>
    </row>
    <row r="219" spans="2:12" s="507" customFormat="1" x14ac:dyDescent="0.2">
      <c r="E219" s="160"/>
      <c r="F219" s="160"/>
      <c r="G219" s="160"/>
      <c r="L219" s="160"/>
    </row>
    <row r="220" spans="2:12" s="507" customFormat="1" x14ac:dyDescent="0.2">
      <c r="E220" s="160"/>
      <c r="F220" s="160"/>
      <c r="G220" s="160"/>
      <c r="L220" s="160"/>
    </row>
    <row r="221" spans="2:12" s="507" customFormat="1" x14ac:dyDescent="0.2">
      <c r="E221" s="160"/>
      <c r="F221" s="160"/>
      <c r="G221" s="160"/>
      <c r="L221" s="160"/>
    </row>
    <row r="222" spans="2:12" s="507" customFormat="1" x14ac:dyDescent="0.2">
      <c r="E222" s="160"/>
      <c r="F222" s="160"/>
      <c r="G222" s="160"/>
      <c r="L222" s="160"/>
    </row>
    <row r="223" spans="2:12" s="507" customFormat="1" x14ac:dyDescent="0.2">
      <c r="E223" s="160"/>
      <c r="F223" s="160"/>
      <c r="G223" s="160"/>
      <c r="L223" s="160"/>
    </row>
    <row r="224" spans="2:12" s="507" customFormat="1" x14ac:dyDescent="0.2">
      <c r="E224" s="160"/>
      <c r="F224" s="160"/>
      <c r="G224" s="160"/>
      <c r="L224" s="160"/>
    </row>
    <row r="225" spans="5:12" s="507" customFormat="1" x14ac:dyDescent="0.2">
      <c r="E225" s="160"/>
      <c r="F225" s="160"/>
      <c r="G225" s="160"/>
      <c r="L225" s="160"/>
    </row>
    <row r="226" spans="5:12" s="507" customFormat="1" x14ac:dyDescent="0.2">
      <c r="E226" s="160"/>
      <c r="F226" s="160"/>
      <c r="G226" s="160"/>
      <c r="L226" s="160"/>
    </row>
    <row r="227" spans="5:12" s="507" customFormat="1" x14ac:dyDescent="0.2">
      <c r="E227" s="160"/>
      <c r="F227" s="160"/>
      <c r="G227" s="160"/>
      <c r="L227" s="160"/>
    </row>
    <row r="228" spans="5:12" s="507" customFormat="1" x14ac:dyDescent="0.2">
      <c r="E228" s="160"/>
      <c r="F228" s="160"/>
      <c r="G228" s="160"/>
      <c r="L228" s="160"/>
    </row>
    <row r="229" spans="5:12" s="507" customFormat="1" x14ac:dyDescent="0.2">
      <c r="E229" s="160"/>
      <c r="F229" s="160"/>
      <c r="G229" s="160"/>
      <c r="L229" s="160"/>
    </row>
    <row r="230" spans="5:12" s="507" customFormat="1" x14ac:dyDescent="0.2">
      <c r="E230" s="160"/>
      <c r="F230" s="160"/>
      <c r="G230" s="160"/>
      <c r="L230" s="160"/>
    </row>
    <row r="231" spans="5:12" s="507" customFormat="1" x14ac:dyDescent="0.2">
      <c r="E231" s="160"/>
      <c r="F231" s="160"/>
      <c r="G231" s="160"/>
      <c r="L231" s="160"/>
    </row>
    <row r="232" spans="5:12" s="507" customFormat="1" x14ac:dyDescent="0.2">
      <c r="E232" s="160"/>
      <c r="F232" s="160"/>
      <c r="G232" s="160"/>
      <c r="L232" s="160"/>
    </row>
    <row r="233" spans="5:12" s="507" customFormat="1" x14ac:dyDescent="0.2">
      <c r="E233" s="160"/>
      <c r="F233" s="160"/>
      <c r="G233" s="160"/>
      <c r="L233" s="160"/>
    </row>
    <row r="234" spans="5:12" s="507" customFormat="1" x14ac:dyDescent="0.2">
      <c r="E234" s="160"/>
      <c r="F234" s="160"/>
      <c r="G234" s="160"/>
      <c r="L234" s="160"/>
    </row>
    <row r="235" spans="5:12" s="507" customFormat="1" x14ac:dyDescent="0.2">
      <c r="E235" s="160"/>
      <c r="F235" s="160"/>
      <c r="G235" s="160"/>
      <c r="L235" s="160"/>
    </row>
    <row r="236" spans="5:12" s="507" customFormat="1" x14ac:dyDescent="0.2">
      <c r="E236" s="160"/>
      <c r="F236" s="160"/>
      <c r="G236" s="160"/>
      <c r="L236" s="160"/>
    </row>
    <row r="237" spans="5:12" s="507" customFormat="1" x14ac:dyDescent="0.2">
      <c r="E237" s="160"/>
      <c r="F237" s="160"/>
      <c r="G237" s="160"/>
      <c r="L237" s="160"/>
    </row>
    <row r="238" spans="5:12" s="507" customFormat="1" x14ac:dyDescent="0.2">
      <c r="E238" s="160"/>
      <c r="F238" s="160"/>
      <c r="G238" s="160"/>
      <c r="L238" s="160"/>
    </row>
    <row r="239" spans="5:12" s="507" customFormat="1" x14ac:dyDescent="0.2">
      <c r="E239" s="160"/>
      <c r="F239" s="160"/>
      <c r="G239" s="160"/>
      <c r="L239" s="160"/>
    </row>
    <row r="240" spans="5:12" s="507" customFormat="1" x14ac:dyDescent="0.2">
      <c r="E240" s="160"/>
      <c r="F240" s="160"/>
      <c r="G240" s="160"/>
      <c r="L240" s="160"/>
    </row>
    <row r="241" spans="5:12" s="507" customFormat="1" x14ac:dyDescent="0.2">
      <c r="E241" s="160"/>
      <c r="F241" s="160"/>
      <c r="G241" s="160"/>
      <c r="L241" s="160"/>
    </row>
    <row r="242" spans="5:12" s="507" customFormat="1" x14ac:dyDescent="0.2">
      <c r="E242" s="160"/>
      <c r="F242" s="160"/>
      <c r="G242" s="160"/>
      <c r="L242" s="160"/>
    </row>
    <row r="243" spans="5:12" s="507" customFormat="1" x14ac:dyDescent="0.2">
      <c r="E243" s="160"/>
      <c r="F243" s="160"/>
      <c r="G243" s="160"/>
      <c r="L243" s="160"/>
    </row>
    <row r="244" spans="5:12" s="507" customFormat="1" x14ac:dyDescent="0.2">
      <c r="E244" s="160"/>
      <c r="F244" s="160"/>
      <c r="G244" s="160"/>
      <c r="L244" s="160"/>
    </row>
  </sheetData>
  <sheetProtection password="E421" sheet="1" objects="1" scenarios="1"/>
  <mergeCells count="251">
    <mergeCell ref="B9:C9"/>
    <mergeCell ref="D9:G9"/>
    <mergeCell ref="H9:K9"/>
    <mergeCell ref="B10:C10"/>
    <mergeCell ref="D10:G10"/>
    <mergeCell ref="H10:K10"/>
    <mergeCell ref="B1:D1"/>
    <mergeCell ref="E1:K1"/>
    <mergeCell ref="B3:K3"/>
    <mergeCell ref="B4:K4"/>
    <mergeCell ref="B8:C8"/>
    <mergeCell ref="D8:G8"/>
    <mergeCell ref="H8:K8"/>
    <mergeCell ref="B14:C14"/>
    <mergeCell ref="D14:G14"/>
    <mergeCell ref="H14:K14"/>
    <mergeCell ref="B15:C15"/>
    <mergeCell ref="D15:G15"/>
    <mergeCell ref="H15:K15"/>
    <mergeCell ref="B11:C11"/>
    <mergeCell ref="D11:K11"/>
    <mergeCell ref="B12:C12"/>
    <mergeCell ref="D12:K12"/>
    <mergeCell ref="B13:C13"/>
    <mergeCell ref="D13:K13"/>
    <mergeCell ref="B25:C25"/>
    <mergeCell ref="B26:C26"/>
    <mergeCell ref="D27:G27"/>
    <mergeCell ref="H27:K27"/>
    <mergeCell ref="B28:C28"/>
    <mergeCell ref="D28:G28"/>
    <mergeCell ref="H28:K28"/>
    <mergeCell ref="B16:C16"/>
    <mergeCell ref="L16:L24"/>
    <mergeCell ref="B17:C17"/>
    <mergeCell ref="B18:C18"/>
    <mergeCell ref="B19:C19"/>
    <mergeCell ref="B20:C20"/>
    <mergeCell ref="B21:C21"/>
    <mergeCell ref="B22:C22"/>
    <mergeCell ref="B23:C23"/>
    <mergeCell ref="B24:C24"/>
    <mergeCell ref="H31:K31"/>
    <mergeCell ref="B32:C32"/>
    <mergeCell ref="D32:G32"/>
    <mergeCell ref="H32:K32"/>
    <mergeCell ref="B33:C33"/>
    <mergeCell ref="D33:G33"/>
    <mergeCell ref="H33:K33"/>
    <mergeCell ref="L28:L29"/>
    <mergeCell ref="B29:C29"/>
    <mergeCell ref="D29:G29"/>
    <mergeCell ref="H29:K29"/>
    <mergeCell ref="B30:C30"/>
    <mergeCell ref="D30:G30"/>
    <mergeCell ref="H30:K30"/>
    <mergeCell ref="L30:L33"/>
    <mergeCell ref="B31:C31"/>
    <mergeCell ref="D31:G31"/>
    <mergeCell ref="B37:C37"/>
    <mergeCell ref="D37:G37"/>
    <mergeCell ref="H37:K37"/>
    <mergeCell ref="B38:C38"/>
    <mergeCell ref="D38:G38"/>
    <mergeCell ref="H38:K38"/>
    <mergeCell ref="B34:C34"/>
    <mergeCell ref="B35:C35"/>
    <mergeCell ref="D35:G35"/>
    <mergeCell ref="H35:K35"/>
    <mergeCell ref="B36:C36"/>
    <mergeCell ref="D36:G36"/>
    <mergeCell ref="H36:K36"/>
    <mergeCell ref="B41:C41"/>
    <mergeCell ref="D41:G41"/>
    <mergeCell ref="H41:K41"/>
    <mergeCell ref="B42:C42"/>
    <mergeCell ref="D42:G42"/>
    <mergeCell ref="H42:K42"/>
    <mergeCell ref="L38:L39"/>
    <mergeCell ref="B39:C39"/>
    <mergeCell ref="D39:G39"/>
    <mergeCell ref="H39:K39"/>
    <mergeCell ref="B40:C40"/>
    <mergeCell ref="D40:G40"/>
    <mergeCell ref="H40:K40"/>
    <mergeCell ref="B45:C45"/>
    <mergeCell ref="D45:G45"/>
    <mergeCell ref="H45:K45"/>
    <mergeCell ref="B46:C46"/>
    <mergeCell ref="D46:G46"/>
    <mergeCell ref="H46:K46"/>
    <mergeCell ref="B43:C43"/>
    <mergeCell ref="D43:G43"/>
    <mergeCell ref="H43:K43"/>
    <mergeCell ref="B44:C44"/>
    <mergeCell ref="D44:G44"/>
    <mergeCell ref="H44:K44"/>
    <mergeCell ref="B50:C50"/>
    <mergeCell ref="D50:G50"/>
    <mergeCell ref="H50:K50"/>
    <mergeCell ref="B51:C51"/>
    <mergeCell ref="D51:G51"/>
    <mergeCell ref="H51:K51"/>
    <mergeCell ref="L46:L49"/>
    <mergeCell ref="B47:C47"/>
    <mergeCell ref="D47:G47"/>
    <mergeCell ref="H47:K47"/>
    <mergeCell ref="B48:C48"/>
    <mergeCell ref="D48:G48"/>
    <mergeCell ref="H48:K48"/>
    <mergeCell ref="B49:C49"/>
    <mergeCell ref="D49:G49"/>
    <mergeCell ref="H49:K49"/>
    <mergeCell ref="B54:C54"/>
    <mergeCell ref="D54:G54"/>
    <mergeCell ref="H54:K54"/>
    <mergeCell ref="B55:C55"/>
    <mergeCell ref="D55:G55"/>
    <mergeCell ref="H55:K55"/>
    <mergeCell ref="B52:C52"/>
    <mergeCell ref="D52:G52"/>
    <mergeCell ref="H52:K52"/>
    <mergeCell ref="B53:C53"/>
    <mergeCell ref="D53:G53"/>
    <mergeCell ref="H53:K53"/>
    <mergeCell ref="B56:C56"/>
    <mergeCell ref="D56:G56"/>
    <mergeCell ref="H56:K56"/>
    <mergeCell ref="L56:L59"/>
    <mergeCell ref="B57:C57"/>
    <mergeCell ref="D57:G57"/>
    <mergeCell ref="H57:K57"/>
    <mergeCell ref="B58:C58"/>
    <mergeCell ref="D58:G58"/>
    <mergeCell ref="H58:K58"/>
    <mergeCell ref="B61:C61"/>
    <mergeCell ref="D61:G61"/>
    <mergeCell ref="H61:K61"/>
    <mergeCell ref="B62:C62"/>
    <mergeCell ref="D62:G62"/>
    <mergeCell ref="H62:K62"/>
    <mergeCell ref="B59:C59"/>
    <mergeCell ref="D59:G59"/>
    <mergeCell ref="H59:K59"/>
    <mergeCell ref="B60:C60"/>
    <mergeCell ref="D60:G60"/>
    <mergeCell ref="H60:K60"/>
    <mergeCell ref="B65:C65"/>
    <mergeCell ref="D65:G65"/>
    <mergeCell ref="H65:K65"/>
    <mergeCell ref="B66:C66"/>
    <mergeCell ref="D66:G66"/>
    <mergeCell ref="H66:K66"/>
    <mergeCell ref="B63:C63"/>
    <mergeCell ref="D63:G63"/>
    <mergeCell ref="H63:K63"/>
    <mergeCell ref="B64:C64"/>
    <mergeCell ref="D64:G64"/>
    <mergeCell ref="H64:K64"/>
    <mergeCell ref="L66:L69"/>
    <mergeCell ref="B67:C67"/>
    <mergeCell ref="D67:G67"/>
    <mergeCell ref="H67:K67"/>
    <mergeCell ref="B68:C68"/>
    <mergeCell ref="D68:G68"/>
    <mergeCell ref="H68:K68"/>
    <mergeCell ref="B69:C69"/>
    <mergeCell ref="D69:G69"/>
    <mergeCell ref="H69:K69"/>
    <mergeCell ref="B73:C73"/>
    <mergeCell ref="D73:G73"/>
    <mergeCell ref="H73:K73"/>
    <mergeCell ref="B74:C74"/>
    <mergeCell ref="D74:G74"/>
    <mergeCell ref="H74:K74"/>
    <mergeCell ref="B70:C70"/>
    <mergeCell ref="D70:G70"/>
    <mergeCell ref="H70:K70"/>
    <mergeCell ref="D71:G71"/>
    <mergeCell ref="H71:K71"/>
    <mergeCell ref="B72:C72"/>
    <mergeCell ref="D72:G72"/>
    <mergeCell ref="H72:K72"/>
    <mergeCell ref="B79:C79"/>
    <mergeCell ref="D79:K79"/>
    <mergeCell ref="B80:C80"/>
    <mergeCell ref="D80:K80"/>
    <mergeCell ref="B81:C81"/>
    <mergeCell ref="B82:C82"/>
    <mergeCell ref="D82:G82"/>
    <mergeCell ref="H82:K82"/>
    <mergeCell ref="B75:C75"/>
    <mergeCell ref="B76:C76"/>
    <mergeCell ref="D76:K76"/>
    <mergeCell ref="B77:C77"/>
    <mergeCell ref="D77:K77"/>
    <mergeCell ref="B78:C78"/>
    <mergeCell ref="B86:C86"/>
    <mergeCell ref="B87:C87"/>
    <mergeCell ref="D87:G87"/>
    <mergeCell ref="H87:K87"/>
    <mergeCell ref="B88:C88"/>
    <mergeCell ref="D88:G88"/>
    <mergeCell ref="H88:K88"/>
    <mergeCell ref="B83:C83"/>
    <mergeCell ref="D83:G83"/>
    <mergeCell ref="H83:K83"/>
    <mergeCell ref="B84:C84"/>
    <mergeCell ref="D84:K84"/>
    <mergeCell ref="B85:C85"/>
    <mergeCell ref="D85:G85"/>
    <mergeCell ref="H85:K85"/>
    <mergeCell ref="B92:C92"/>
    <mergeCell ref="D92:G92"/>
    <mergeCell ref="H92:K92"/>
    <mergeCell ref="B93:C93"/>
    <mergeCell ref="D93:G93"/>
    <mergeCell ref="H93:K93"/>
    <mergeCell ref="B89:C89"/>
    <mergeCell ref="D89:G89"/>
    <mergeCell ref="H89:K89"/>
    <mergeCell ref="B90:C90"/>
    <mergeCell ref="B91:C91"/>
    <mergeCell ref="D91:G91"/>
    <mergeCell ref="H91:K91"/>
    <mergeCell ref="B115:C115"/>
    <mergeCell ref="B116:C116"/>
    <mergeCell ref="E122:N122"/>
    <mergeCell ref="E130:N130"/>
    <mergeCell ref="J139:M140"/>
    <mergeCell ref="B140:G141"/>
    <mergeCell ref="D94:K94"/>
    <mergeCell ref="B96:L96"/>
    <mergeCell ref="B98:I98"/>
    <mergeCell ref="E109:F109"/>
    <mergeCell ref="B112:C113"/>
    <mergeCell ref="E112:N112"/>
    <mergeCell ref="E113:N113"/>
    <mergeCell ref="B198:K199"/>
    <mergeCell ref="B178:E178"/>
    <mergeCell ref="B179:E179"/>
    <mergeCell ref="B180:E180"/>
    <mergeCell ref="B181:E181"/>
    <mergeCell ref="B195:K196"/>
    <mergeCell ref="B197:K197"/>
    <mergeCell ref="B147:G149"/>
    <mergeCell ref="I149:N151"/>
    <mergeCell ref="B163:F163"/>
    <mergeCell ref="B173:E174"/>
    <mergeCell ref="B176:E176"/>
    <mergeCell ref="B177:E177"/>
  </mergeCells>
  <conditionalFormatting sqref="H88 H81 D81 D76 D83:K84 E1:K1 D46:K49 D56:K59 D66:K69 H91:K92 D32:K33 D79:K79">
    <cfRule type="cellIs" dxfId="382" priority="19" operator="lessThan">
      <formula>0.00001</formula>
    </cfRule>
  </conditionalFormatting>
  <conditionalFormatting sqref="I94:I97 F123:K129 F99:F108 D142:G146 B93 G99:I111 J94:K111 F110:F111 F114:K121 D150:F162 H131:H195 G150:G195 F131:G139 D99:E139 D81:D92 D93:H97 E81:H83 I131:K137 B94:C94 D39:K39 D72:H78 L77 D33:K33 I73:K78 I81:K82 E92:L92 E85:K91 I93:K93 D164:F195 I160:K195">
    <cfRule type="containsErrors" dxfId="381" priority="12">
      <formula>ISERROR(B33)</formula>
    </cfRule>
  </conditionalFormatting>
  <conditionalFormatting sqref="H81 D81 D83:K84 D11:K13 D79:K79">
    <cfRule type="cellIs" dxfId="380" priority="17" operator="lessThan">
      <formula>0.0001</formula>
    </cfRule>
  </conditionalFormatting>
  <conditionalFormatting sqref="H88 H81 D81 D83:K84 D67:K69 D57:K59 H91:K92 D47:K49 D79:K79">
    <cfRule type="cellIs" priority="16" operator="lessThan">
      <formula>0.00001</formula>
    </cfRule>
  </conditionalFormatting>
  <conditionalFormatting sqref="H88 D11:K13 H91:K92">
    <cfRule type="cellIs" dxfId="379" priority="15" operator="lessThan">
      <formula>0.000001</formula>
    </cfRule>
  </conditionalFormatting>
  <conditionalFormatting sqref="D38:K39">
    <cfRule type="cellIs" dxfId="378" priority="14" operator="lessThan">
      <formula>0.00001</formula>
    </cfRule>
  </conditionalFormatting>
  <conditionalFormatting sqref="L92 L77">
    <cfRule type="cellIs" dxfId="377" priority="13" operator="greaterThan">
      <formula>$G$35</formula>
    </cfRule>
  </conditionalFormatting>
  <conditionalFormatting sqref="H85:K85">
    <cfRule type="cellIs" dxfId="376" priority="18" operator="greaterThan">
      <formula>$D$85</formula>
    </cfRule>
  </conditionalFormatting>
  <conditionalFormatting sqref="D80:K80">
    <cfRule type="cellIs" dxfId="375" priority="9" operator="lessThan">
      <formula>0.00001</formula>
    </cfRule>
  </conditionalFormatting>
  <conditionalFormatting sqref="D80:K80">
    <cfRule type="cellIs" dxfId="374" priority="8" operator="lessThan">
      <formula>0.0001</formula>
    </cfRule>
  </conditionalFormatting>
  <conditionalFormatting sqref="D80:K80">
    <cfRule type="cellIs" priority="7" operator="lessThan">
      <formula>0.00001</formula>
    </cfRule>
  </conditionalFormatting>
  <conditionalFormatting sqref="D80:K80">
    <cfRule type="cellIs" dxfId="373" priority="6" operator="lessThan">
      <formula>0.00001</formula>
    </cfRule>
  </conditionalFormatting>
  <conditionalFormatting sqref="D80:K80">
    <cfRule type="cellIs" dxfId="372" priority="5" operator="lessThan">
      <formula>0.0001</formula>
    </cfRule>
  </conditionalFormatting>
  <conditionalFormatting sqref="D80:K80">
    <cfRule type="cellIs" priority="4" operator="lessThan">
      <formula>0.00001</formula>
    </cfRule>
  </conditionalFormatting>
  <conditionalFormatting sqref="D80:K80">
    <cfRule type="cellIs" dxfId="371" priority="3" operator="lessThan">
      <formula>0.00001</formula>
    </cfRule>
  </conditionalFormatting>
  <conditionalFormatting sqref="D80:K80">
    <cfRule type="cellIs" dxfId="370" priority="2" operator="lessThan">
      <formula>0.0001</formula>
    </cfRule>
  </conditionalFormatting>
  <conditionalFormatting sqref="D80:K80">
    <cfRule type="cellIs" priority="1" operator="lessThan">
      <formula>0.00001</formula>
    </cfRule>
  </conditionalFormatting>
  <dataValidations count="3">
    <dataValidation type="list" allowBlank="1" showInputMessage="1" showErrorMessage="1" sqref="D31 H31" xr:uid="{00000000-0002-0000-0B00-000000000000}">
      <formula1>$B$143:$B$145</formula1>
    </dataValidation>
    <dataValidation type="list" allowBlank="1" showInputMessage="1" showErrorMessage="1" sqref="D37:K37" xr:uid="{00000000-0002-0000-0B00-000001000000}">
      <formula1>$B$159:$B$160</formula1>
    </dataValidation>
    <dataValidation type="list" allowBlank="1" showInputMessage="1" showErrorMessage="1" sqref="D45:K45 D55:K55 D65:K65" xr:uid="{00000000-0002-0000-0B00-000002000000}">
      <formula1>$B$151:$B$156</formula1>
    </dataValidation>
  </dataValidations>
  <hyperlinks>
    <hyperlink ref="L12" location="PPT" display="From Site Data" xr:uid="{00000000-0004-0000-0B00-000000000000}"/>
    <hyperlink ref="L38" location="VELOCITY" display="See Shallow Flow Calculations" xr:uid="{00000000-0004-0000-0B00-000001000000}"/>
    <hyperlink ref="L46" location="mannings_channel" display="See Channel Flow" xr:uid="{00000000-0004-0000-0B00-000002000000}"/>
    <hyperlink ref="L38:L39" location="SHALLOW" display="See Shallow Flow Calculations" xr:uid="{00000000-0004-0000-0B00-000003000000}"/>
    <hyperlink ref="L46:L49" location="CHANNEL" display="See Open Channel Flow" xr:uid="{00000000-0004-0000-0B00-000004000000}"/>
    <hyperlink ref="L56" location="mannings_channel" display="See Channel Flow" xr:uid="{00000000-0004-0000-0B00-000005000000}"/>
    <hyperlink ref="L56:L59" location="CHANNEL" display="See Open Channel Flow" xr:uid="{00000000-0004-0000-0B00-000006000000}"/>
    <hyperlink ref="L66" location="mannings_channel" display="See Channel Flow" xr:uid="{00000000-0004-0000-0B00-000007000000}"/>
    <hyperlink ref="L66:L69" location="CHANNEL" display="See Open Channel Flow" xr:uid="{00000000-0004-0000-0B00-000008000000}"/>
    <hyperlink ref="L30:L33" location="SHEET" display="See Sheet Flow Calculations" xr:uid="{00000000-0004-0000-0B00-000009000000}"/>
    <hyperlink ref="L74" location="WCN" display="See Weighted Curve Number" xr:uid="{00000000-0004-0000-0B00-00000A000000}"/>
    <hyperlink ref="L70" location="Tc" display="See Tc" xr:uid="{00000000-0004-0000-0B00-00000B000000}"/>
    <hyperlink ref="L16:L24" location="WCN" display="See Weighted Curve Number" xr:uid="{00000000-0004-0000-0B00-00000C000000}"/>
    <hyperlink ref="L82" location="SCS" display="See SCS Runoff Method" xr:uid="{00000000-0004-0000-0B00-00000D000000}"/>
    <hyperlink ref="L79" location="hd" display="See Discrete Runoff Method" xr:uid="{00000000-0004-0000-0B00-00000E000000}"/>
    <hyperlink ref="L87" location="SCS" display="See SCS Runoff Method" xr:uid="{00000000-0004-0000-0B00-00000F000000}"/>
    <hyperlink ref="L91" location="SCS" display="See SCS Runoff Method" xr:uid="{00000000-0004-0000-0B00-000010000000}"/>
    <hyperlink ref="L85" location="PEAK" display="See Peak Flow Calculations" xr:uid="{00000000-0004-0000-0B00-000011000000}"/>
    <hyperlink ref="L89" location="PEAK" display="See Peak Flow Calculations" xr:uid="{00000000-0004-0000-0B00-000012000000}"/>
    <hyperlink ref="L76" location="Disconnected" display="See Disconnected Impervious Calculation" xr:uid="{00000000-0004-0000-0B00-000013000000}"/>
    <hyperlink ref="B195:K196" location="'DA2'!A1" display="CLICK TO ADD ANOTHER DRAINAGE AREA" xr:uid="{00000000-0004-0000-0B00-000014000000}"/>
    <hyperlink ref="B198:K199" location="'SITE SUMMARY'!A1" display="CONTINUE TO SITE SUMMARY" xr:uid="{00000000-0004-0000-0B00-000015000000}"/>
    <hyperlink ref="L80" location="hd" display="See Discrete Runoff Method" xr:uid="{00000000-0004-0000-0B00-000016000000}"/>
  </hyperlinks>
  <printOptions horizontalCentered="1"/>
  <pageMargins left="0.7" right="0.7" top="0.75" bottom="0.75" header="0.3" footer="0.3"/>
  <pageSetup scale="54" fitToHeight="2" orientation="portrait" copies="5" r:id="rId1"/>
  <headerFooter>
    <oddFooter>&amp;A&amp;RPage &amp;P</oddFooter>
  </headerFooter>
  <rowBreaks count="1" manualBreakCount="1">
    <brk id="49" min="1" max="10"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AA244"/>
  <sheetViews>
    <sheetView showRowColHeaders="0" zoomScale="85" zoomScaleNormal="85" workbookViewId="0">
      <selection activeCell="K75" sqref="K75"/>
    </sheetView>
  </sheetViews>
  <sheetFormatPr defaultRowHeight="15" x14ac:dyDescent="0.2"/>
  <cols>
    <col min="1" max="1" width="3.77734375" style="507" customWidth="1"/>
    <col min="2" max="2" width="25.6640625" style="161" customWidth="1"/>
    <col min="3" max="3" width="17.33203125" style="161" customWidth="1"/>
    <col min="4" max="4" width="8.6640625" style="161" customWidth="1"/>
    <col min="5" max="7" width="8.6640625" style="223" customWidth="1"/>
    <col min="8" max="11" width="8.6640625" style="161" customWidth="1"/>
    <col min="12" max="12" width="37.109375" style="160" bestFit="1" customWidth="1"/>
    <col min="13" max="27" width="8.88671875" style="507"/>
    <col min="28" max="16384" width="8.88671875" style="161"/>
  </cols>
  <sheetData>
    <row r="1" spans="2:12" ht="16.5" thickBot="1" x14ac:dyDescent="0.3">
      <c r="B1" s="787" t="s">
        <v>31</v>
      </c>
      <c r="C1" s="787"/>
      <c r="D1" s="787"/>
      <c r="E1" s="788">
        <f>'SITE DATA'!F9</f>
        <v>0</v>
      </c>
      <c r="F1" s="789"/>
      <c r="G1" s="789"/>
      <c r="H1" s="789"/>
      <c r="I1" s="789"/>
      <c r="J1" s="789"/>
      <c r="K1" s="790"/>
    </row>
    <row r="2" spans="2:12" x14ac:dyDescent="0.2">
      <c r="B2" s="507"/>
      <c r="C2" s="507"/>
      <c r="D2" s="507"/>
      <c r="E2" s="160"/>
      <c r="F2" s="160"/>
      <c r="G2" s="160"/>
      <c r="H2" s="507"/>
      <c r="I2" s="507"/>
      <c r="J2" s="507"/>
      <c r="K2" s="507"/>
    </row>
    <row r="3" spans="2:12" ht="18" x14ac:dyDescent="0.25">
      <c r="B3" s="797" t="s">
        <v>393</v>
      </c>
      <c r="C3" s="797"/>
      <c r="D3" s="797"/>
      <c r="E3" s="797"/>
      <c r="F3" s="797"/>
      <c r="G3" s="797"/>
      <c r="H3" s="797"/>
      <c r="I3" s="797"/>
      <c r="J3" s="797"/>
      <c r="K3" s="797"/>
      <c r="L3" s="162"/>
    </row>
    <row r="4" spans="2:12" ht="18" x14ac:dyDescent="0.25">
      <c r="B4" s="797" t="s">
        <v>8</v>
      </c>
      <c r="C4" s="797"/>
      <c r="D4" s="797"/>
      <c r="E4" s="797"/>
      <c r="F4" s="797"/>
      <c r="G4" s="797"/>
      <c r="H4" s="797"/>
      <c r="I4" s="797"/>
      <c r="J4" s="797"/>
      <c r="K4" s="797"/>
      <c r="L4" s="162"/>
    </row>
    <row r="5" spans="2:12" x14ac:dyDescent="0.2">
      <c r="B5" s="507"/>
      <c r="C5" s="507"/>
      <c r="D5" s="507"/>
      <c r="E5" s="160"/>
      <c r="F5" s="160"/>
      <c r="G5" s="160"/>
      <c r="H5" s="507"/>
      <c r="I5" s="507"/>
      <c r="J5" s="507"/>
      <c r="K5" s="507"/>
    </row>
    <row r="6" spans="2:12" x14ac:dyDescent="0.2">
      <c r="B6" s="507"/>
      <c r="C6" s="507"/>
      <c r="D6" s="507"/>
      <c r="E6" s="160"/>
      <c r="F6" s="160"/>
      <c r="G6" s="160"/>
      <c r="H6" s="507"/>
      <c r="I6" s="507"/>
      <c r="J6" s="507"/>
      <c r="K6" s="507"/>
    </row>
    <row r="7" spans="2:12" ht="15.75" thickBot="1" x14ac:dyDescent="0.25">
      <c r="B7" s="507"/>
      <c r="C7" s="507"/>
      <c r="D7" s="507"/>
      <c r="E7" s="160"/>
      <c r="F7" s="160"/>
      <c r="G7" s="160"/>
      <c r="H7" s="507"/>
      <c r="I7" s="507"/>
      <c r="J7" s="507"/>
      <c r="K7" s="507"/>
    </row>
    <row r="8" spans="2:12" ht="24.95" customHeight="1" thickTop="1" thickBot="1" x14ac:dyDescent="0.3">
      <c r="B8" s="801" t="s">
        <v>263</v>
      </c>
      <c r="C8" s="802"/>
      <c r="D8" s="798" t="s">
        <v>9</v>
      </c>
      <c r="E8" s="798"/>
      <c r="F8" s="798"/>
      <c r="G8" s="798"/>
      <c r="H8" s="798" t="s">
        <v>30</v>
      </c>
      <c r="I8" s="798"/>
      <c r="J8" s="798"/>
      <c r="K8" s="798"/>
      <c r="L8" s="238" t="s">
        <v>319</v>
      </c>
    </row>
    <row r="9" spans="2:12" ht="24.95" customHeight="1" thickTop="1" x14ac:dyDescent="0.2">
      <c r="B9" s="754" t="s">
        <v>92</v>
      </c>
      <c r="C9" s="791"/>
      <c r="D9" s="799"/>
      <c r="E9" s="725"/>
      <c r="F9" s="725"/>
      <c r="G9" s="800"/>
      <c r="H9" s="774"/>
      <c r="I9" s="775"/>
      <c r="J9" s="775"/>
      <c r="K9" s="776"/>
      <c r="L9" s="163" t="s">
        <v>486</v>
      </c>
    </row>
    <row r="10" spans="2:12" ht="24.95" customHeight="1" x14ac:dyDescent="0.2">
      <c r="B10" s="754" t="s">
        <v>93</v>
      </c>
      <c r="C10" s="791"/>
      <c r="D10" s="799"/>
      <c r="E10" s="725"/>
      <c r="F10" s="725"/>
      <c r="G10" s="800"/>
      <c r="H10" s="799"/>
      <c r="I10" s="725"/>
      <c r="J10" s="725"/>
      <c r="K10" s="800"/>
      <c r="L10" s="163"/>
    </row>
    <row r="11" spans="2:12" ht="24.95" customHeight="1" x14ac:dyDescent="0.2">
      <c r="B11" s="754" t="s">
        <v>226</v>
      </c>
      <c r="C11" s="791"/>
      <c r="D11" s="803">
        <f>'SITE DATA'!$F$26</f>
        <v>0</v>
      </c>
      <c r="E11" s="683"/>
      <c r="F11" s="683"/>
      <c r="G11" s="683"/>
      <c r="H11" s="683"/>
      <c r="I11" s="683"/>
      <c r="J11" s="683"/>
      <c r="K11" s="804"/>
      <c r="L11" s="566"/>
    </row>
    <row r="12" spans="2:12" ht="24.95" customHeight="1" x14ac:dyDescent="0.2">
      <c r="B12" s="754" t="s">
        <v>329</v>
      </c>
      <c r="C12" s="791"/>
      <c r="D12" s="803">
        <f>'SITE DATA'!$F$27</f>
        <v>0</v>
      </c>
      <c r="E12" s="683"/>
      <c r="F12" s="683"/>
      <c r="G12" s="683"/>
      <c r="H12" s="683"/>
      <c r="I12" s="683"/>
      <c r="J12" s="683"/>
      <c r="K12" s="804"/>
      <c r="L12" s="566" t="s">
        <v>266</v>
      </c>
    </row>
    <row r="13" spans="2:12" ht="24.95" customHeight="1" x14ac:dyDescent="0.2">
      <c r="B13" s="754" t="s">
        <v>375</v>
      </c>
      <c r="C13" s="791"/>
      <c r="D13" s="803">
        <f>'SITE DATA'!$F$28</f>
        <v>0</v>
      </c>
      <c r="E13" s="683"/>
      <c r="F13" s="683"/>
      <c r="G13" s="683"/>
      <c r="H13" s="683"/>
      <c r="I13" s="683"/>
      <c r="J13" s="683"/>
      <c r="K13" s="804"/>
      <c r="L13" s="566"/>
    </row>
    <row r="14" spans="2:12" ht="24.95" customHeight="1" x14ac:dyDescent="0.2">
      <c r="B14" s="754" t="s">
        <v>307</v>
      </c>
      <c r="C14" s="791"/>
      <c r="D14" s="792"/>
      <c r="E14" s="793"/>
      <c r="F14" s="793"/>
      <c r="G14" s="793"/>
      <c r="H14" s="793"/>
      <c r="I14" s="793"/>
      <c r="J14" s="793"/>
      <c r="K14" s="793"/>
      <c r="L14" s="163"/>
    </row>
    <row r="15" spans="2:12" ht="24.95" customHeight="1" x14ac:dyDescent="0.2">
      <c r="B15" s="754" t="s">
        <v>306</v>
      </c>
      <c r="C15" s="791"/>
      <c r="D15" s="793"/>
      <c r="E15" s="793"/>
      <c r="F15" s="793"/>
      <c r="G15" s="793"/>
      <c r="H15" s="793"/>
      <c r="I15" s="793"/>
      <c r="J15" s="793"/>
      <c r="K15" s="793"/>
      <c r="L15" s="163"/>
    </row>
    <row r="16" spans="2:12" ht="24.95" customHeight="1" x14ac:dyDescent="0.2">
      <c r="B16" s="784" t="s">
        <v>487</v>
      </c>
      <c r="C16" s="785"/>
      <c r="D16" s="429" t="s">
        <v>15</v>
      </c>
      <c r="E16" s="430" t="s">
        <v>16</v>
      </c>
      <c r="F16" s="430" t="s">
        <v>18</v>
      </c>
      <c r="G16" s="431" t="s">
        <v>17</v>
      </c>
      <c r="H16" s="432" t="s">
        <v>15</v>
      </c>
      <c r="I16" s="430" t="s">
        <v>16</v>
      </c>
      <c r="J16" s="430" t="s">
        <v>18</v>
      </c>
      <c r="K16" s="431" t="s">
        <v>17</v>
      </c>
      <c r="L16" s="766" t="s">
        <v>177</v>
      </c>
    </row>
    <row r="17" spans="2:12" ht="24.95" customHeight="1" x14ac:dyDescent="0.2">
      <c r="B17" s="754" t="s">
        <v>12</v>
      </c>
      <c r="C17" s="791"/>
      <c r="D17" s="428"/>
      <c r="E17" s="416"/>
      <c r="F17" s="416"/>
      <c r="G17" s="427"/>
      <c r="H17" s="428"/>
      <c r="I17" s="416"/>
      <c r="J17" s="416"/>
      <c r="K17" s="427"/>
      <c r="L17" s="766"/>
    </row>
    <row r="18" spans="2:12" ht="24.95" customHeight="1" x14ac:dyDescent="0.2">
      <c r="B18" s="754" t="s">
        <v>253</v>
      </c>
      <c r="C18" s="791"/>
      <c r="D18" s="428"/>
      <c r="E18" s="416"/>
      <c r="F18" s="416"/>
      <c r="G18" s="427"/>
      <c r="H18" s="428"/>
      <c r="I18" s="416"/>
      <c r="J18" s="416"/>
      <c r="K18" s="427"/>
      <c r="L18" s="766"/>
    </row>
    <row r="19" spans="2:12" ht="24.95" customHeight="1" x14ac:dyDescent="0.2">
      <c r="B19" s="754" t="s">
        <v>260</v>
      </c>
      <c r="C19" s="791"/>
      <c r="D19" s="428"/>
      <c r="E19" s="416"/>
      <c r="F19" s="416"/>
      <c r="G19" s="427"/>
      <c r="H19" s="428"/>
      <c r="I19" s="416"/>
      <c r="J19" s="416"/>
      <c r="K19" s="427"/>
      <c r="L19" s="766"/>
    </row>
    <row r="20" spans="2:12" ht="24.95" customHeight="1" x14ac:dyDescent="0.2">
      <c r="B20" s="754" t="s">
        <v>259</v>
      </c>
      <c r="C20" s="791"/>
      <c r="D20" s="428"/>
      <c r="E20" s="416"/>
      <c r="F20" s="416"/>
      <c r="G20" s="427"/>
      <c r="H20" s="428"/>
      <c r="I20" s="416"/>
      <c r="J20" s="416"/>
      <c r="K20" s="427"/>
      <c r="L20" s="766"/>
    </row>
    <row r="21" spans="2:12" ht="24.95" customHeight="1" x14ac:dyDescent="0.2">
      <c r="B21" s="754" t="s">
        <v>255</v>
      </c>
      <c r="C21" s="791"/>
      <c r="D21" s="428"/>
      <c r="E21" s="416"/>
      <c r="F21" s="416"/>
      <c r="G21" s="427"/>
      <c r="H21" s="428"/>
      <c r="I21" s="416"/>
      <c r="J21" s="416"/>
      <c r="K21" s="427"/>
      <c r="L21" s="766"/>
    </row>
    <row r="22" spans="2:12" ht="24.95" customHeight="1" x14ac:dyDescent="0.2">
      <c r="B22" s="754" t="s">
        <v>262</v>
      </c>
      <c r="C22" s="791"/>
      <c r="D22" s="428"/>
      <c r="E22" s="416"/>
      <c r="F22" s="416"/>
      <c r="G22" s="427"/>
      <c r="H22" s="428"/>
      <c r="I22" s="416"/>
      <c r="J22" s="416"/>
      <c r="K22" s="427"/>
      <c r="L22" s="766"/>
    </row>
    <row r="23" spans="2:12" ht="24.95" customHeight="1" x14ac:dyDescent="0.2">
      <c r="B23" s="754" t="s">
        <v>261</v>
      </c>
      <c r="C23" s="791"/>
      <c r="D23" s="428"/>
      <c r="E23" s="416"/>
      <c r="F23" s="416"/>
      <c r="G23" s="427"/>
      <c r="H23" s="428"/>
      <c r="I23" s="416"/>
      <c r="J23" s="416"/>
      <c r="K23" s="427"/>
      <c r="L23" s="766"/>
    </row>
    <row r="24" spans="2:12" ht="24.95" customHeight="1" x14ac:dyDescent="0.2">
      <c r="B24" s="754" t="s">
        <v>245</v>
      </c>
      <c r="C24" s="791"/>
      <c r="D24" s="428"/>
      <c r="E24" s="416"/>
      <c r="F24" s="416"/>
      <c r="G24" s="427"/>
      <c r="H24" s="428"/>
      <c r="I24" s="416"/>
      <c r="J24" s="416"/>
      <c r="K24" s="427"/>
      <c r="L24" s="766"/>
    </row>
    <row r="25" spans="2:12" ht="24.95" customHeight="1" x14ac:dyDescent="0.25">
      <c r="B25" s="754" t="s">
        <v>369</v>
      </c>
      <c r="C25" s="791"/>
      <c r="D25" s="428"/>
      <c r="E25" s="416"/>
      <c r="F25" s="416"/>
      <c r="G25" s="427"/>
      <c r="H25" s="428"/>
      <c r="I25" s="416"/>
      <c r="J25" s="416"/>
      <c r="K25" s="427"/>
      <c r="L25" s="417"/>
    </row>
    <row r="26" spans="2:12" ht="24.95" customHeight="1" thickBot="1" x14ac:dyDescent="0.3">
      <c r="B26" s="830" t="s">
        <v>368</v>
      </c>
      <c r="C26" s="831"/>
      <c r="D26" s="433"/>
      <c r="E26" s="434"/>
      <c r="F26" s="434"/>
      <c r="G26" s="435"/>
      <c r="H26" s="433"/>
      <c r="I26" s="434"/>
      <c r="J26" s="434"/>
      <c r="K26" s="435"/>
      <c r="L26" s="417" t="str">
        <f>IF(OR(SUM($H$17:$K$26)&gt;$H$10,SUM($H$17:$K$26)&lt;$H$10),"LAND USE MUST MATCH SITE ACREAGE","")</f>
        <v/>
      </c>
    </row>
    <row r="27" spans="2:12" ht="24.95" customHeight="1" thickTop="1" thickBot="1" x14ac:dyDescent="0.25">
      <c r="B27" s="443" t="s">
        <v>264</v>
      </c>
      <c r="C27" s="444"/>
      <c r="D27" s="805" t="s">
        <v>56</v>
      </c>
      <c r="E27" s="805"/>
      <c r="F27" s="805"/>
      <c r="G27" s="805"/>
      <c r="H27" s="805" t="s">
        <v>57</v>
      </c>
      <c r="I27" s="805"/>
      <c r="J27" s="805"/>
      <c r="K27" s="805"/>
      <c r="L27" s="418"/>
    </row>
    <row r="28" spans="2:12" ht="24.95" customHeight="1" thickTop="1" x14ac:dyDescent="0.2">
      <c r="B28" s="795" t="s">
        <v>404</v>
      </c>
      <c r="C28" s="796"/>
      <c r="D28" s="794"/>
      <c r="E28" s="794"/>
      <c r="F28" s="794"/>
      <c r="G28" s="794"/>
      <c r="H28" s="794"/>
      <c r="I28" s="794"/>
      <c r="J28" s="794"/>
      <c r="K28" s="794"/>
      <c r="L28" s="736"/>
    </row>
    <row r="29" spans="2:12" ht="24.95" customHeight="1" x14ac:dyDescent="0.2">
      <c r="B29" s="770" t="s">
        <v>87</v>
      </c>
      <c r="C29" s="771"/>
      <c r="D29" s="774"/>
      <c r="E29" s="775"/>
      <c r="F29" s="775"/>
      <c r="G29" s="776"/>
      <c r="H29" s="774"/>
      <c r="I29" s="775"/>
      <c r="J29" s="775"/>
      <c r="K29" s="776"/>
      <c r="L29" s="736"/>
    </row>
    <row r="30" spans="2:12" ht="24.95" customHeight="1" x14ac:dyDescent="0.2">
      <c r="B30" s="770" t="s">
        <v>88</v>
      </c>
      <c r="C30" s="771"/>
      <c r="D30" s="777"/>
      <c r="E30" s="778"/>
      <c r="F30" s="778"/>
      <c r="G30" s="779"/>
      <c r="H30" s="777"/>
      <c r="I30" s="778"/>
      <c r="J30" s="778"/>
      <c r="K30" s="779"/>
      <c r="L30" s="766" t="s">
        <v>95</v>
      </c>
    </row>
    <row r="31" spans="2:12" ht="24.95" customHeight="1" x14ac:dyDescent="0.2">
      <c r="B31" s="770" t="s">
        <v>60</v>
      </c>
      <c r="C31" s="771"/>
      <c r="D31" s="774"/>
      <c r="E31" s="775"/>
      <c r="F31" s="775"/>
      <c r="G31" s="776"/>
      <c r="H31" s="774"/>
      <c r="I31" s="775"/>
      <c r="J31" s="775"/>
      <c r="K31" s="776"/>
      <c r="L31" s="766"/>
    </row>
    <row r="32" spans="2:12" ht="24.95" customHeight="1" x14ac:dyDescent="0.2">
      <c r="B32" s="781" t="s">
        <v>86</v>
      </c>
      <c r="C32" s="782"/>
      <c r="D32" s="769" t="str">
        <f>IF(D31=$B$143,$G$143,IF(D31=$B$144,$G$144,IF(D31=$B$145,$G$145,"")))</f>
        <v/>
      </c>
      <c r="E32" s="769"/>
      <c r="F32" s="769"/>
      <c r="G32" s="769"/>
      <c r="H32" s="769" t="str">
        <f>IF(H31=$B$143,$G$143,IF(H31=$B$144,$G$144,IF(H31=$B$145,$G$145,"")))</f>
        <v/>
      </c>
      <c r="I32" s="769"/>
      <c r="J32" s="769"/>
      <c r="K32" s="769"/>
      <c r="L32" s="766"/>
    </row>
    <row r="33" spans="2:12" ht="24.95" customHeight="1" x14ac:dyDescent="0.2">
      <c r="B33" s="770" t="s">
        <v>89</v>
      </c>
      <c r="C33" s="780"/>
      <c r="D33" s="769">
        <f>IF(D29&gt;0,(0.007*(D32*D29)^0.8)/(($D$11^0.5)*(D30^0.4)),0)</f>
        <v>0</v>
      </c>
      <c r="E33" s="769"/>
      <c r="F33" s="769"/>
      <c r="G33" s="769"/>
      <c r="H33" s="769">
        <f>IF(H29&gt;0,(0.007*(H32*H29)^0.8)/(($D$11^0.5)*(H30^0.4)),0)</f>
        <v>0</v>
      </c>
      <c r="I33" s="769"/>
      <c r="J33" s="769"/>
      <c r="K33" s="769"/>
      <c r="L33" s="766"/>
    </row>
    <row r="34" spans="2:12" ht="24.95" customHeight="1" x14ac:dyDescent="0.2">
      <c r="B34" s="795" t="s">
        <v>405</v>
      </c>
      <c r="C34" s="796"/>
      <c r="D34" s="570"/>
      <c r="E34" s="570"/>
      <c r="F34" s="570"/>
      <c r="G34" s="570"/>
      <c r="H34" s="570"/>
      <c r="I34" s="570"/>
      <c r="J34" s="570"/>
      <c r="K34" s="571"/>
      <c r="L34" s="419"/>
    </row>
    <row r="35" spans="2:12" ht="24.95" customHeight="1" x14ac:dyDescent="0.2">
      <c r="B35" s="770" t="s">
        <v>87</v>
      </c>
      <c r="C35" s="771"/>
      <c r="D35" s="774"/>
      <c r="E35" s="775"/>
      <c r="F35" s="775"/>
      <c r="G35" s="776"/>
      <c r="H35" s="774"/>
      <c r="I35" s="775"/>
      <c r="J35" s="775"/>
      <c r="K35" s="776"/>
      <c r="L35" s="163"/>
    </row>
    <row r="36" spans="2:12" ht="24.95" customHeight="1" x14ac:dyDescent="0.2">
      <c r="B36" s="770" t="s">
        <v>88</v>
      </c>
      <c r="C36" s="771"/>
      <c r="D36" s="777"/>
      <c r="E36" s="778"/>
      <c r="F36" s="778"/>
      <c r="G36" s="779"/>
      <c r="H36" s="777"/>
      <c r="I36" s="778"/>
      <c r="J36" s="778"/>
      <c r="K36" s="779"/>
      <c r="L36" s="163"/>
    </row>
    <row r="37" spans="2:12" ht="24.95" customHeight="1" x14ac:dyDescent="0.2">
      <c r="B37" s="770" t="s">
        <v>60</v>
      </c>
      <c r="C37" s="771"/>
      <c r="D37" s="774"/>
      <c r="E37" s="775"/>
      <c r="F37" s="775"/>
      <c r="G37" s="776"/>
      <c r="H37" s="774"/>
      <c r="I37" s="775"/>
      <c r="J37" s="775"/>
      <c r="K37" s="776"/>
      <c r="L37" s="163"/>
    </row>
    <row r="38" spans="2:12" ht="24.95" customHeight="1" x14ac:dyDescent="0.2">
      <c r="B38" s="781" t="s">
        <v>96</v>
      </c>
      <c r="C38" s="782"/>
      <c r="D38" s="783">
        <f>IF(D37="Unpaved",16.1345*D36^0.5,IF(D37="Paved",20.32828*D36^0.5,0))</f>
        <v>0</v>
      </c>
      <c r="E38" s="783"/>
      <c r="F38" s="783"/>
      <c r="G38" s="783"/>
      <c r="H38" s="783">
        <f>IF(H37="Unpaved",16.1345*H36^0.5,IF(H37="Paved",20.32828*H36^0.5,0))</f>
        <v>0</v>
      </c>
      <c r="I38" s="783"/>
      <c r="J38" s="783"/>
      <c r="K38" s="783"/>
      <c r="L38" s="766" t="s">
        <v>131</v>
      </c>
    </row>
    <row r="39" spans="2:12" ht="24.95" customHeight="1" x14ac:dyDescent="0.2">
      <c r="B39" s="770" t="s">
        <v>89</v>
      </c>
      <c r="C39" s="780"/>
      <c r="D39" s="783">
        <f>IF(D38&gt;0,D35/(3600*D38),0)</f>
        <v>0</v>
      </c>
      <c r="E39" s="783"/>
      <c r="F39" s="783"/>
      <c r="G39" s="783"/>
      <c r="H39" s="783">
        <f>IF(H38&gt;0,H35/(3600*H38),0)</f>
        <v>0</v>
      </c>
      <c r="I39" s="783"/>
      <c r="J39" s="783"/>
      <c r="K39" s="783"/>
      <c r="L39" s="766"/>
    </row>
    <row r="40" spans="2:12" ht="24.95" customHeight="1" x14ac:dyDescent="0.2">
      <c r="B40" s="784" t="s">
        <v>406</v>
      </c>
      <c r="C40" s="785"/>
      <c r="D40" s="772"/>
      <c r="E40" s="772"/>
      <c r="F40" s="772"/>
      <c r="G40" s="772"/>
      <c r="H40" s="772"/>
      <c r="I40" s="772"/>
      <c r="J40" s="772"/>
      <c r="K40" s="773"/>
      <c r="L40" s="163"/>
    </row>
    <row r="41" spans="2:12" ht="24.95" customHeight="1" x14ac:dyDescent="0.2">
      <c r="B41" s="770" t="s">
        <v>87</v>
      </c>
      <c r="C41" s="771"/>
      <c r="D41" s="739"/>
      <c r="E41" s="739"/>
      <c r="F41" s="739"/>
      <c r="G41" s="739"/>
      <c r="H41" s="774"/>
      <c r="I41" s="775"/>
      <c r="J41" s="775"/>
      <c r="K41" s="776"/>
      <c r="L41" s="163"/>
    </row>
    <row r="42" spans="2:12" ht="24.95" customHeight="1" x14ac:dyDescent="0.2">
      <c r="B42" s="770" t="s">
        <v>88</v>
      </c>
      <c r="C42" s="771"/>
      <c r="D42" s="786"/>
      <c r="E42" s="786"/>
      <c r="F42" s="786"/>
      <c r="G42" s="786"/>
      <c r="H42" s="777"/>
      <c r="I42" s="778"/>
      <c r="J42" s="778"/>
      <c r="K42" s="779"/>
      <c r="L42" s="163"/>
    </row>
    <row r="43" spans="2:12" ht="24.95" customHeight="1" x14ac:dyDescent="0.2">
      <c r="B43" s="770" t="s">
        <v>108</v>
      </c>
      <c r="C43" s="771"/>
      <c r="D43" s="739"/>
      <c r="E43" s="739"/>
      <c r="F43" s="739"/>
      <c r="G43" s="739"/>
      <c r="H43" s="774"/>
      <c r="I43" s="775"/>
      <c r="J43" s="775"/>
      <c r="K43" s="776"/>
      <c r="L43" s="163"/>
    </row>
    <row r="44" spans="2:12" ht="24.95" customHeight="1" x14ac:dyDescent="0.2">
      <c r="B44" s="767" t="s">
        <v>90</v>
      </c>
      <c r="C44" s="768"/>
      <c r="D44" s="739"/>
      <c r="E44" s="739"/>
      <c r="F44" s="739"/>
      <c r="G44" s="739"/>
      <c r="H44" s="774"/>
      <c r="I44" s="775"/>
      <c r="J44" s="775"/>
      <c r="K44" s="776"/>
      <c r="L44" s="163"/>
    </row>
    <row r="45" spans="2:12" ht="24.95" customHeight="1" x14ac:dyDescent="0.2">
      <c r="B45" s="770" t="s">
        <v>116</v>
      </c>
      <c r="C45" s="771"/>
      <c r="D45" s="739"/>
      <c r="E45" s="739"/>
      <c r="F45" s="739"/>
      <c r="G45" s="739"/>
      <c r="H45" s="774"/>
      <c r="I45" s="775"/>
      <c r="J45" s="775"/>
      <c r="K45" s="776"/>
      <c r="L45" s="163"/>
    </row>
    <row r="46" spans="2:12" ht="24.95" customHeight="1" x14ac:dyDescent="0.2">
      <c r="B46" s="781" t="s">
        <v>86</v>
      </c>
      <c r="C46" s="782"/>
      <c r="D46" s="769" t="str">
        <f>IF(D45="Asphalt",$G$151,IF(D45="Concrete, finished",$G$152,IF(D45="Concrete, unfinished",$G$153,IF(D45="Grass",$G$154,IF(D45="Gravel Bottom/riprap sides",$G$155,IF(D45="Weeds",$G$156,""))))))</f>
        <v/>
      </c>
      <c r="E46" s="769"/>
      <c r="F46" s="769"/>
      <c r="G46" s="769"/>
      <c r="H46" s="769" t="str">
        <f>IF(H45="Asphalt",$G$151,IF(H45="Concrete, finished",$G$152,IF(H45="Concrete, unfinished",$G$153,IF(H45="Grass",$G$154,IF(H45="Gravel Bottom/riprap sides",$G$155,IF(H45="Weeds",$G$156,""))))))</f>
        <v/>
      </c>
      <c r="I46" s="769"/>
      <c r="J46" s="769"/>
      <c r="K46" s="769"/>
      <c r="L46" s="766" t="s">
        <v>174</v>
      </c>
    </row>
    <row r="47" spans="2:12" ht="24.95" customHeight="1" x14ac:dyDescent="0.2">
      <c r="B47" s="781" t="s">
        <v>109</v>
      </c>
      <c r="C47" s="782"/>
      <c r="D47" s="783">
        <f>IF(ISERROR(D43/D44),0,D43/D44)</f>
        <v>0</v>
      </c>
      <c r="E47" s="783"/>
      <c r="F47" s="783"/>
      <c r="G47" s="783"/>
      <c r="H47" s="783">
        <f>IF(ISERROR(H43/H44),0,H43/H44)</f>
        <v>0</v>
      </c>
      <c r="I47" s="783"/>
      <c r="J47" s="783"/>
      <c r="K47" s="783"/>
      <c r="L47" s="766"/>
    </row>
    <row r="48" spans="2:12" ht="24.95" customHeight="1" x14ac:dyDescent="0.2">
      <c r="B48" s="781" t="s">
        <v>96</v>
      </c>
      <c r="C48" s="782"/>
      <c r="D48" s="783">
        <f>IF(D44&gt;0,(1.49*(D47^(2/3))*(D42^0.5))/D46,0)</f>
        <v>0</v>
      </c>
      <c r="E48" s="783"/>
      <c r="F48" s="783"/>
      <c r="G48" s="783"/>
      <c r="H48" s="783">
        <f>IF(H44&gt;0,(1.49*(H47^(2/3))*(H42^0.5))/H46,0)</f>
        <v>0</v>
      </c>
      <c r="I48" s="783"/>
      <c r="J48" s="783"/>
      <c r="K48" s="783"/>
      <c r="L48" s="766"/>
    </row>
    <row r="49" spans="2:12" ht="24.95" customHeight="1" x14ac:dyDescent="0.2">
      <c r="B49" s="770" t="s">
        <v>89</v>
      </c>
      <c r="C49" s="780"/>
      <c r="D49" s="783">
        <f>IF(D44&gt;0,D41/(3600*D48),0)</f>
        <v>0</v>
      </c>
      <c r="E49" s="783"/>
      <c r="F49" s="783"/>
      <c r="G49" s="783"/>
      <c r="H49" s="783">
        <f>IF(H44&gt;0,H41/(3600*H48),0)</f>
        <v>0</v>
      </c>
      <c r="I49" s="783"/>
      <c r="J49" s="783"/>
      <c r="K49" s="783"/>
      <c r="L49" s="766"/>
    </row>
    <row r="50" spans="2:12" ht="24.95" customHeight="1" x14ac:dyDescent="0.2">
      <c r="B50" s="784" t="s">
        <v>407</v>
      </c>
      <c r="C50" s="785"/>
      <c r="D50" s="772"/>
      <c r="E50" s="772"/>
      <c r="F50" s="772"/>
      <c r="G50" s="772"/>
      <c r="H50" s="772"/>
      <c r="I50" s="772"/>
      <c r="J50" s="772"/>
      <c r="K50" s="773"/>
      <c r="L50" s="163"/>
    </row>
    <row r="51" spans="2:12" ht="24.95" customHeight="1" x14ac:dyDescent="0.2">
      <c r="B51" s="770" t="s">
        <v>87</v>
      </c>
      <c r="C51" s="771"/>
      <c r="D51" s="739"/>
      <c r="E51" s="739"/>
      <c r="F51" s="739"/>
      <c r="G51" s="739"/>
      <c r="H51" s="739"/>
      <c r="I51" s="739"/>
      <c r="J51" s="739"/>
      <c r="K51" s="739"/>
      <c r="L51" s="163"/>
    </row>
    <row r="52" spans="2:12" ht="24.95" customHeight="1" x14ac:dyDescent="0.2">
      <c r="B52" s="770" t="s">
        <v>88</v>
      </c>
      <c r="C52" s="771"/>
      <c r="D52" s="786"/>
      <c r="E52" s="786"/>
      <c r="F52" s="786"/>
      <c r="G52" s="786"/>
      <c r="H52" s="786"/>
      <c r="I52" s="786"/>
      <c r="J52" s="786"/>
      <c r="K52" s="786"/>
      <c r="L52" s="163"/>
    </row>
    <row r="53" spans="2:12" ht="24.95" customHeight="1" x14ac:dyDescent="0.2">
      <c r="B53" s="770" t="s">
        <v>108</v>
      </c>
      <c r="C53" s="771"/>
      <c r="D53" s="739"/>
      <c r="E53" s="739"/>
      <c r="F53" s="739"/>
      <c r="G53" s="739"/>
      <c r="H53" s="739"/>
      <c r="I53" s="739"/>
      <c r="J53" s="739"/>
      <c r="K53" s="739"/>
      <c r="L53" s="163"/>
    </row>
    <row r="54" spans="2:12" ht="24.95" customHeight="1" x14ac:dyDescent="0.2">
      <c r="B54" s="767" t="s">
        <v>90</v>
      </c>
      <c r="C54" s="768"/>
      <c r="D54" s="739"/>
      <c r="E54" s="739"/>
      <c r="F54" s="739"/>
      <c r="G54" s="739"/>
      <c r="H54" s="739"/>
      <c r="I54" s="739"/>
      <c r="J54" s="739"/>
      <c r="K54" s="739"/>
      <c r="L54" s="163"/>
    </row>
    <row r="55" spans="2:12" ht="24.95" customHeight="1" x14ac:dyDescent="0.2">
      <c r="B55" s="770" t="s">
        <v>116</v>
      </c>
      <c r="C55" s="771"/>
      <c r="D55" s="739"/>
      <c r="E55" s="739"/>
      <c r="F55" s="739"/>
      <c r="G55" s="739"/>
      <c r="H55" s="739"/>
      <c r="I55" s="739"/>
      <c r="J55" s="739"/>
      <c r="K55" s="739"/>
      <c r="L55" s="163"/>
    </row>
    <row r="56" spans="2:12" ht="24.95" customHeight="1" x14ac:dyDescent="0.2">
      <c r="B56" s="781" t="s">
        <v>86</v>
      </c>
      <c r="C56" s="782"/>
      <c r="D56" s="769" t="str">
        <f>IF(D55="Asphalt",$G$151,IF(D55="Concrete, finished",$G$152,IF(D55="Concrete, unfinished",$G$153,IF(D55="Grass",$G$154,IF(D55="Gravel Bottom/riprap sides",$G$155,IF(D55="Weeds",$G$156,""))))))</f>
        <v/>
      </c>
      <c r="E56" s="769"/>
      <c r="F56" s="769"/>
      <c r="G56" s="769"/>
      <c r="H56" s="769" t="str">
        <f>IF(H55="Asphalt",$G$151,IF(H55="Concrete, finished",$G$152,IF(H55="Concrete, unfinished",$G$153,IF(H55="Grass",$G$154,IF(H55="Gravel Bottom/riprap sides",$G$155,IF(H55="Weeds",$G$156,""))))))</f>
        <v/>
      </c>
      <c r="I56" s="769"/>
      <c r="J56" s="769"/>
      <c r="K56" s="769"/>
      <c r="L56" s="766" t="s">
        <v>174</v>
      </c>
    </row>
    <row r="57" spans="2:12" ht="24.95" customHeight="1" x14ac:dyDescent="0.2">
      <c r="B57" s="781" t="s">
        <v>109</v>
      </c>
      <c r="C57" s="782"/>
      <c r="D57" s="783">
        <f>IF(ISERROR(D53/D54),0,D53/D54)</f>
        <v>0</v>
      </c>
      <c r="E57" s="783"/>
      <c r="F57" s="783"/>
      <c r="G57" s="783"/>
      <c r="H57" s="783">
        <f>IF(ISERROR(H53/H54),0,H53/H54)</f>
        <v>0</v>
      </c>
      <c r="I57" s="783"/>
      <c r="J57" s="783"/>
      <c r="K57" s="783"/>
      <c r="L57" s="766"/>
    </row>
    <row r="58" spans="2:12" ht="24.95" customHeight="1" x14ac:dyDescent="0.2">
      <c r="B58" s="781" t="s">
        <v>96</v>
      </c>
      <c r="C58" s="782"/>
      <c r="D58" s="783">
        <f>IF(D54&gt;0,(1.49*(D57^(2/3))*(D52^0.5))/D56,0)</f>
        <v>0</v>
      </c>
      <c r="E58" s="783"/>
      <c r="F58" s="783"/>
      <c r="G58" s="783"/>
      <c r="H58" s="783">
        <f>IF(H54&gt;0,(1.49*(H57^(2/3))*(H52^0.5))/H56,0)</f>
        <v>0</v>
      </c>
      <c r="I58" s="783"/>
      <c r="J58" s="783"/>
      <c r="K58" s="783"/>
      <c r="L58" s="766"/>
    </row>
    <row r="59" spans="2:12" ht="24.95" customHeight="1" x14ac:dyDescent="0.2">
      <c r="B59" s="770" t="s">
        <v>89</v>
      </c>
      <c r="C59" s="780"/>
      <c r="D59" s="783">
        <f>IF(D54&gt;0,D51/(3600*D58),0)</f>
        <v>0</v>
      </c>
      <c r="E59" s="783"/>
      <c r="F59" s="783"/>
      <c r="G59" s="783"/>
      <c r="H59" s="783">
        <f>IF(H54&gt;0,H51/(3600*H58),0)</f>
        <v>0</v>
      </c>
      <c r="I59" s="783"/>
      <c r="J59" s="783"/>
      <c r="K59" s="783"/>
      <c r="L59" s="766"/>
    </row>
    <row r="60" spans="2:12" ht="24.95" customHeight="1" x14ac:dyDescent="0.2">
      <c r="B60" s="784" t="s">
        <v>408</v>
      </c>
      <c r="C60" s="785"/>
      <c r="D60" s="772"/>
      <c r="E60" s="772"/>
      <c r="F60" s="772"/>
      <c r="G60" s="772"/>
      <c r="H60" s="772"/>
      <c r="I60" s="772"/>
      <c r="J60" s="772"/>
      <c r="K60" s="773"/>
      <c r="L60" s="163"/>
    </row>
    <row r="61" spans="2:12" ht="24.95" customHeight="1" x14ac:dyDescent="0.2">
      <c r="B61" s="770" t="s">
        <v>87</v>
      </c>
      <c r="C61" s="771"/>
      <c r="D61" s="739"/>
      <c r="E61" s="739"/>
      <c r="F61" s="739"/>
      <c r="G61" s="739"/>
      <c r="H61" s="739"/>
      <c r="I61" s="739"/>
      <c r="J61" s="739"/>
      <c r="K61" s="739"/>
      <c r="L61" s="163"/>
    </row>
    <row r="62" spans="2:12" ht="24.95" customHeight="1" x14ac:dyDescent="0.2">
      <c r="B62" s="770" t="s">
        <v>88</v>
      </c>
      <c r="C62" s="771"/>
      <c r="D62" s="786"/>
      <c r="E62" s="786"/>
      <c r="F62" s="786"/>
      <c r="G62" s="786"/>
      <c r="H62" s="786"/>
      <c r="I62" s="786"/>
      <c r="J62" s="786"/>
      <c r="K62" s="786"/>
      <c r="L62" s="163"/>
    </row>
    <row r="63" spans="2:12" ht="24.95" customHeight="1" x14ac:dyDescent="0.2">
      <c r="B63" s="770" t="s">
        <v>108</v>
      </c>
      <c r="C63" s="771"/>
      <c r="D63" s="739"/>
      <c r="E63" s="739"/>
      <c r="F63" s="739"/>
      <c r="G63" s="739"/>
      <c r="H63" s="739"/>
      <c r="I63" s="739"/>
      <c r="J63" s="739"/>
      <c r="K63" s="739"/>
      <c r="L63" s="163"/>
    </row>
    <row r="64" spans="2:12" ht="24.95" customHeight="1" x14ac:dyDescent="0.2">
      <c r="B64" s="821" t="s">
        <v>90</v>
      </c>
      <c r="C64" s="822"/>
      <c r="D64" s="739"/>
      <c r="E64" s="739"/>
      <c r="F64" s="739"/>
      <c r="G64" s="739"/>
      <c r="H64" s="739"/>
      <c r="I64" s="739"/>
      <c r="J64" s="739"/>
      <c r="K64" s="739"/>
      <c r="L64" s="163"/>
    </row>
    <row r="65" spans="1:27" ht="24.95" customHeight="1" x14ac:dyDescent="0.2">
      <c r="B65" s="770" t="s">
        <v>116</v>
      </c>
      <c r="C65" s="771"/>
      <c r="D65" s="739"/>
      <c r="E65" s="739"/>
      <c r="F65" s="739"/>
      <c r="G65" s="739"/>
      <c r="H65" s="739"/>
      <c r="I65" s="739"/>
      <c r="J65" s="739"/>
      <c r="K65" s="739"/>
      <c r="L65" s="163"/>
    </row>
    <row r="66" spans="1:27" ht="24.95" customHeight="1" x14ac:dyDescent="0.2">
      <c r="B66" s="781" t="s">
        <v>86</v>
      </c>
      <c r="C66" s="782"/>
      <c r="D66" s="769" t="str">
        <f>IF(D65="Asphalt",$G$151,IF(D65="Concrete, finished",$G$152,IF(D65="Concrete, unfinished",$G$153,IF(D65="Grass",$G$154,IF(D65="Gravel Bottom/riprap sides",$G$155,IF(D65="Weeds",$G$156,""))))))</f>
        <v/>
      </c>
      <c r="E66" s="769"/>
      <c r="F66" s="769"/>
      <c r="G66" s="769"/>
      <c r="H66" s="769" t="str">
        <f>IF(H65="Asphalt",$G$151,IF(H65="Concrete, finished",$G$152,IF(H65="Concrete, unfinished",$G$153,IF(H65="Grass",$G$154,IF(H65="Gravel Bottom/riprap sides",$G$155,IF(H65="Weeds",$G$156,""))))))</f>
        <v/>
      </c>
      <c r="I66" s="769"/>
      <c r="J66" s="769"/>
      <c r="K66" s="769"/>
      <c r="L66" s="766" t="s">
        <v>174</v>
      </c>
    </row>
    <row r="67" spans="1:27" ht="24.95" customHeight="1" x14ac:dyDescent="0.2">
      <c r="B67" s="781" t="s">
        <v>109</v>
      </c>
      <c r="C67" s="782"/>
      <c r="D67" s="783">
        <f>IF(ISERROR(D63/D64),0,D63/D64)</f>
        <v>0</v>
      </c>
      <c r="E67" s="783"/>
      <c r="F67" s="783"/>
      <c r="G67" s="783"/>
      <c r="H67" s="783">
        <f>IF(ISERROR(H63/H64),0,H63/H64)</f>
        <v>0</v>
      </c>
      <c r="I67" s="783"/>
      <c r="J67" s="783"/>
      <c r="K67" s="783"/>
      <c r="L67" s="766"/>
    </row>
    <row r="68" spans="1:27" ht="24.95" customHeight="1" x14ac:dyDescent="0.2">
      <c r="B68" s="781" t="s">
        <v>96</v>
      </c>
      <c r="C68" s="782"/>
      <c r="D68" s="783">
        <f>IF(D64&gt;0,(1.49*(D67^(2/3))*(D62^0.5))/D66,0)</f>
        <v>0</v>
      </c>
      <c r="E68" s="783"/>
      <c r="F68" s="783"/>
      <c r="G68" s="783"/>
      <c r="H68" s="783">
        <f>IF(H64&gt;0,(1.49*(H67^(2/3))*(H62^0.5))/H66,0)</f>
        <v>0</v>
      </c>
      <c r="I68" s="783"/>
      <c r="J68" s="783"/>
      <c r="K68" s="783"/>
      <c r="L68" s="766"/>
    </row>
    <row r="69" spans="1:27" ht="24.95" customHeight="1" x14ac:dyDescent="0.2">
      <c r="B69" s="770" t="s">
        <v>89</v>
      </c>
      <c r="C69" s="780"/>
      <c r="D69" s="783">
        <f>IF(D64&gt;0,D61/(3600*D68),0)</f>
        <v>0</v>
      </c>
      <c r="E69" s="783"/>
      <c r="F69" s="783"/>
      <c r="G69" s="783"/>
      <c r="H69" s="783">
        <f>IF(H64&gt;0,H61/(3600*H68),0)</f>
        <v>0</v>
      </c>
      <c r="I69" s="783"/>
      <c r="J69" s="783"/>
      <c r="K69" s="783"/>
      <c r="L69" s="766"/>
    </row>
    <row r="70" spans="1:27" ht="24.95" customHeight="1" thickBot="1" x14ac:dyDescent="0.25">
      <c r="B70" s="819" t="s">
        <v>125</v>
      </c>
      <c r="C70" s="820"/>
      <c r="D70" s="739">
        <f>D69+D59+D49+D39+D33</f>
        <v>0</v>
      </c>
      <c r="E70" s="739"/>
      <c r="F70" s="739"/>
      <c r="G70" s="739"/>
      <c r="H70" s="739">
        <f>H69+H59+H49+H39+H33</f>
        <v>0</v>
      </c>
      <c r="I70" s="739"/>
      <c r="J70" s="739"/>
      <c r="K70" s="739"/>
      <c r="L70" s="566" t="s">
        <v>176</v>
      </c>
    </row>
    <row r="71" spans="1:27" ht="24.95" customHeight="1" thickTop="1" thickBot="1" x14ac:dyDescent="0.3">
      <c r="B71" s="443" t="s">
        <v>134</v>
      </c>
      <c r="C71" s="445"/>
      <c r="D71" s="762" t="s">
        <v>9</v>
      </c>
      <c r="E71" s="762"/>
      <c r="F71" s="762"/>
      <c r="G71" s="762"/>
      <c r="H71" s="762" t="s">
        <v>30</v>
      </c>
      <c r="I71" s="762"/>
      <c r="J71" s="762"/>
      <c r="K71" s="762"/>
      <c r="L71" s="163"/>
    </row>
    <row r="72" spans="1:27" s="169" customFormat="1" ht="24.95" hidden="1" customHeight="1" thickTop="1" x14ac:dyDescent="0.2">
      <c r="A72" s="216"/>
      <c r="B72" s="826" t="s">
        <v>386</v>
      </c>
      <c r="C72" s="827"/>
      <c r="D72" s="816" t="e">
        <f>C122*0.2</f>
        <v>#DIV/0!</v>
      </c>
      <c r="E72" s="817"/>
      <c r="F72" s="817"/>
      <c r="G72" s="818"/>
      <c r="H72" s="816" t="e">
        <f>C130*0.2</f>
        <v>#DIV/0!</v>
      </c>
      <c r="I72" s="817"/>
      <c r="J72" s="817"/>
      <c r="K72" s="832"/>
      <c r="L72" s="420"/>
      <c r="M72" s="216"/>
      <c r="N72" s="216"/>
      <c r="O72" s="216"/>
      <c r="P72" s="216"/>
      <c r="Q72" s="216"/>
      <c r="R72" s="216"/>
      <c r="S72" s="216"/>
      <c r="T72" s="216"/>
      <c r="U72" s="216"/>
      <c r="V72" s="216"/>
      <c r="W72" s="216"/>
      <c r="X72" s="216"/>
      <c r="Y72" s="216"/>
      <c r="Z72" s="216"/>
      <c r="AA72" s="216"/>
    </row>
    <row r="73" spans="1:27" s="169" customFormat="1" ht="24.95" hidden="1" customHeight="1" x14ac:dyDescent="0.2">
      <c r="A73" s="216"/>
      <c r="B73" s="814" t="s">
        <v>387</v>
      </c>
      <c r="C73" s="815"/>
      <c r="D73" s="812" t="e">
        <f>D72/$D$11</f>
        <v>#DIV/0!</v>
      </c>
      <c r="E73" s="812"/>
      <c r="F73" s="812"/>
      <c r="G73" s="812"/>
      <c r="H73" s="812" t="e">
        <f>H72/$D$11</f>
        <v>#DIV/0!</v>
      </c>
      <c r="I73" s="812"/>
      <c r="J73" s="812"/>
      <c r="K73" s="813"/>
      <c r="L73" s="421"/>
      <c r="M73" s="216"/>
      <c r="N73" s="216"/>
      <c r="O73" s="216"/>
      <c r="P73" s="216"/>
      <c r="Q73" s="216"/>
      <c r="R73" s="216"/>
      <c r="S73" s="216"/>
      <c r="T73" s="216"/>
      <c r="U73" s="216"/>
      <c r="V73" s="216"/>
      <c r="W73" s="216"/>
      <c r="X73" s="216"/>
      <c r="Y73" s="216"/>
      <c r="Z73" s="216"/>
      <c r="AA73" s="216"/>
    </row>
    <row r="74" spans="1:27" ht="24.95" customHeight="1" thickTop="1" thickBot="1" x14ac:dyDescent="0.25">
      <c r="B74" s="828" t="s">
        <v>132</v>
      </c>
      <c r="C74" s="829"/>
      <c r="D74" s="763" t="e">
        <f>$G$109</f>
        <v>#DIV/0!</v>
      </c>
      <c r="E74" s="763"/>
      <c r="F74" s="763"/>
      <c r="G74" s="763"/>
      <c r="H74" s="763" t="e">
        <f>$H$109</f>
        <v>#DIV/0!</v>
      </c>
      <c r="I74" s="763"/>
      <c r="J74" s="763"/>
      <c r="K74" s="763"/>
      <c r="L74" s="566" t="s">
        <v>177</v>
      </c>
    </row>
    <row r="75" spans="1:27" s="142" customFormat="1" ht="24.95" customHeight="1" thickTop="1" thickBot="1" x14ac:dyDescent="0.25">
      <c r="A75" s="141"/>
      <c r="B75" s="750" t="s">
        <v>223</v>
      </c>
      <c r="C75" s="751"/>
      <c r="D75" s="436"/>
      <c r="E75" s="436"/>
      <c r="F75" s="436"/>
      <c r="G75" s="436"/>
      <c r="H75" s="436"/>
      <c r="I75" s="436"/>
      <c r="J75" s="436"/>
      <c r="K75" s="437"/>
      <c r="L75" s="422"/>
      <c r="M75" s="141"/>
      <c r="N75" s="141"/>
      <c r="O75" s="141"/>
      <c r="P75" s="141"/>
      <c r="Q75" s="141"/>
      <c r="R75" s="141"/>
      <c r="S75" s="141"/>
      <c r="T75" s="141"/>
      <c r="U75" s="141"/>
      <c r="V75" s="141"/>
      <c r="W75" s="141"/>
      <c r="X75" s="141"/>
      <c r="Y75" s="141"/>
      <c r="Z75" s="141"/>
      <c r="AA75" s="141"/>
    </row>
    <row r="76" spans="1:27" s="144" customFormat="1" ht="24.95" customHeight="1" thickTop="1" x14ac:dyDescent="0.2">
      <c r="A76" s="143"/>
      <c r="B76" s="740" t="s">
        <v>402</v>
      </c>
      <c r="C76" s="741"/>
      <c r="D76" s="742">
        <f>SUM($H$26:$K$26)</f>
        <v>0</v>
      </c>
      <c r="E76" s="743"/>
      <c r="F76" s="743"/>
      <c r="G76" s="743"/>
      <c r="H76" s="743"/>
      <c r="I76" s="743"/>
      <c r="J76" s="743"/>
      <c r="K76" s="744"/>
      <c r="L76" s="566" t="s">
        <v>222</v>
      </c>
      <c r="M76" s="143"/>
      <c r="N76" s="143"/>
      <c r="O76" s="143"/>
      <c r="P76" s="143"/>
      <c r="Q76" s="143"/>
      <c r="R76" s="143"/>
      <c r="S76" s="143"/>
      <c r="T76" s="143"/>
      <c r="U76" s="143"/>
      <c r="V76" s="143"/>
      <c r="W76" s="143"/>
      <c r="X76" s="143"/>
      <c r="Y76" s="143"/>
      <c r="Z76" s="143"/>
      <c r="AA76" s="143"/>
    </row>
    <row r="77" spans="1:27" s="144" customFormat="1" ht="24.95" customHeight="1" thickBot="1" x14ac:dyDescent="0.25">
      <c r="A77" s="143"/>
      <c r="B77" s="745" t="s">
        <v>403</v>
      </c>
      <c r="C77" s="746"/>
      <c r="D77" s="747" t="e">
        <f>IF(D76&gt;0,$C$188,H74)</f>
        <v>#DIV/0!</v>
      </c>
      <c r="E77" s="748"/>
      <c r="F77" s="748"/>
      <c r="G77" s="748"/>
      <c r="H77" s="748"/>
      <c r="I77" s="748"/>
      <c r="J77" s="748"/>
      <c r="K77" s="749"/>
      <c r="L77" s="423"/>
      <c r="M77" s="143"/>
      <c r="N77" s="143"/>
      <c r="O77" s="143"/>
      <c r="P77" s="143"/>
      <c r="Q77" s="143"/>
      <c r="R77" s="143"/>
      <c r="S77" s="143"/>
      <c r="T77" s="143"/>
      <c r="U77" s="143"/>
      <c r="V77" s="143"/>
      <c r="W77" s="143"/>
      <c r="X77" s="143"/>
      <c r="Y77" s="143"/>
      <c r="Z77" s="143"/>
      <c r="AA77" s="143"/>
    </row>
    <row r="78" spans="1:27" ht="24.95" customHeight="1" thickTop="1" thickBot="1" x14ac:dyDescent="0.25">
      <c r="B78" s="750" t="s">
        <v>385</v>
      </c>
      <c r="C78" s="751"/>
      <c r="D78" s="436"/>
      <c r="E78" s="436"/>
      <c r="F78" s="436"/>
      <c r="G78" s="436"/>
      <c r="H78" s="436"/>
      <c r="I78" s="436"/>
      <c r="J78" s="436"/>
      <c r="K78" s="437"/>
      <c r="L78" s="163"/>
    </row>
    <row r="79" spans="1:27" s="555" customFormat="1" ht="24.95" hidden="1" customHeight="1" thickTop="1" x14ac:dyDescent="0.2">
      <c r="A79" s="554"/>
      <c r="B79" s="764" t="s">
        <v>552</v>
      </c>
      <c r="C79" s="765"/>
      <c r="D79" s="823">
        <f>IF(ISERROR(C170),"",(C170))</f>
        <v>0</v>
      </c>
      <c r="E79" s="824"/>
      <c r="F79" s="824"/>
      <c r="G79" s="824"/>
      <c r="H79" s="824"/>
      <c r="I79" s="824"/>
      <c r="J79" s="824"/>
      <c r="K79" s="825"/>
      <c r="L79" s="553" t="s">
        <v>389</v>
      </c>
      <c r="M79" s="554"/>
      <c r="N79" s="554"/>
      <c r="O79" s="554"/>
      <c r="P79" s="554"/>
      <c r="Q79" s="554"/>
      <c r="R79" s="554"/>
      <c r="S79" s="554"/>
      <c r="T79" s="554"/>
      <c r="U79" s="554"/>
      <c r="V79" s="554"/>
      <c r="W79" s="554"/>
      <c r="X79" s="554"/>
      <c r="Y79" s="554"/>
      <c r="Z79" s="554"/>
      <c r="AA79" s="554"/>
    </row>
    <row r="80" spans="1:27" ht="41.25" customHeight="1" thickTop="1" thickBot="1" x14ac:dyDescent="0.25">
      <c r="B80" s="757" t="s">
        <v>590</v>
      </c>
      <c r="C80" s="758"/>
      <c r="D80" s="759" t="str">
        <f>IF(ISERROR($K$175),"",($K$175))</f>
        <v/>
      </c>
      <c r="E80" s="760"/>
      <c r="F80" s="760"/>
      <c r="G80" s="760"/>
      <c r="H80" s="760"/>
      <c r="I80" s="760"/>
      <c r="J80" s="760"/>
      <c r="K80" s="761"/>
      <c r="L80" s="566" t="s">
        <v>389</v>
      </c>
    </row>
    <row r="81" spans="1:27" ht="24.95" customHeight="1" thickTop="1" thickBot="1" x14ac:dyDescent="0.25">
      <c r="B81" s="750" t="s">
        <v>384</v>
      </c>
      <c r="C81" s="751"/>
      <c r="D81" s="436"/>
      <c r="E81" s="436"/>
      <c r="F81" s="436"/>
      <c r="G81" s="436"/>
      <c r="H81" s="436"/>
      <c r="I81" s="436"/>
      <c r="J81" s="436"/>
      <c r="K81" s="437"/>
      <c r="L81" s="163"/>
    </row>
    <row r="82" spans="1:27" ht="24.95" customHeight="1" thickTop="1" x14ac:dyDescent="0.2">
      <c r="B82" s="754" t="s">
        <v>390</v>
      </c>
      <c r="C82" s="753"/>
      <c r="D82" s="755" t="e">
        <f>IF(D72&gt;'SITE DATA'!$F$26,0,C123)</f>
        <v>#DIV/0!</v>
      </c>
      <c r="E82" s="755"/>
      <c r="F82" s="755"/>
      <c r="G82" s="755"/>
      <c r="H82" s="755" t="e">
        <f>IF(H72&gt;'SITE DATA'!$F$26,0,C131)</f>
        <v>#DIV/0!</v>
      </c>
      <c r="I82" s="755"/>
      <c r="J82" s="755"/>
      <c r="K82" s="755"/>
      <c r="L82" s="566" t="s">
        <v>178</v>
      </c>
    </row>
    <row r="83" spans="1:27" ht="24.95" customHeight="1" x14ac:dyDescent="0.2">
      <c r="B83" s="752" t="s">
        <v>349</v>
      </c>
      <c r="C83" s="753"/>
      <c r="D83" s="756" t="e">
        <f>ROUND(IF(ISERROR((D82/12)*(D10*43560)),"",((D82/12)*(D10*43560))),0)</f>
        <v>#VALUE!</v>
      </c>
      <c r="E83" s="756"/>
      <c r="F83" s="756"/>
      <c r="G83" s="756"/>
      <c r="H83" s="756">
        <f>ROUND(IF(ISERROR((H82/12)*(H10*43560)),0,((H82/12)*(H10*43560))),0)</f>
        <v>0</v>
      </c>
      <c r="I83" s="756"/>
      <c r="J83" s="756"/>
      <c r="K83" s="756"/>
      <c r="L83" s="424"/>
    </row>
    <row r="84" spans="1:27" ht="39" customHeight="1" x14ac:dyDescent="0.2">
      <c r="B84" s="757" t="s">
        <v>559</v>
      </c>
      <c r="C84" s="758"/>
      <c r="D84" s="756" t="str">
        <f>IF(ISERROR(H83-D83),"",(H83-D83))</f>
        <v/>
      </c>
      <c r="E84" s="756"/>
      <c r="F84" s="756"/>
      <c r="G84" s="756"/>
      <c r="H84" s="756"/>
      <c r="I84" s="756"/>
      <c r="J84" s="756"/>
      <c r="K84" s="756"/>
      <c r="L84" s="425"/>
    </row>
    <row r="85" spans="1:27" ht="24.95" customHeight="1" thickBot="1" x14ac:dyDescent="0.25">
      <c r="B85" s="752" t="s">
        <v>350</v>
      </c>
      <c r="C85" s="753"/>
      <c r="D85" s="809" t="e">
        <f>H127</f>
        <v>#DIV/0!</v>
      </c>
      <c r="E85" s="809"/>
      <c r="F85" s="809"/>
      <c r="G85" s="809"/>
      <c r="H85" s="809" t="e">
        <f>H135</f>
        <v>#DIV/0!</v>
      </c>
      <c r="I85" s="809"/>
      <c r="J85" s="809"/>
      <c r="K85" s="809"/>
      <c r="L85" s="426" t="s">
        <v>159</v>
      </c>
    </row>
    <row r="86" spans="1:27" ht="24.95" customHeight="1" thickTop="1" thickBot="1" x14ac:dyDescent="0.25">
      <c r="B86" s="750" t="s">
        <v>374</v>
      </c>
      <c r="C86" s="751"/>
      <c r="D86" s="436"/>
      <c r="E86" s="436"/>
      <c r="F86" s="436"/>
      <c r="G86" s="436"/>
      <c r="H86" s="436"/>
      <c r="I86" s="436"/>
      <c r="J86" s="436"/>
      <c r="K86" s="437"/>
      <c r="L86" s="426"/>
    </row>
    <row r="87" spans="1:27" ht="24.95" customHeight="1" thickTop="1" x14ac:dyDescent="0.2">
      <c r="B87" s="754" t="s">
        <v>391</v>
      </c>
      <c r="C87" s="753"/>
      <c r="D87" s="755" t="e">
        <f>IF($D$72&gt;'SITE DATA'!$F$27,0,C124)</f>
        <v>#DIV/0!</v>
      </c>
      <c r="E87" s="755"/>
      <c r="F87" s="755"/>
      <c r="G87" s="755"/>
      <c r="H87" s="755" t="e">
        <f>IF($H$72&gt;'SITE DATA'!$F$27,0,C132)</f>
        <v>#DIV/0!</v>
      </c>
      <c r="I87" s="755"/>
      <c r="J87" s="755"/>
      <c r="K87" s="755"/>
      <c r="L87" s="566" t="s">
        <v>178</v>
      </c>
    </row>
    <row r="88" spans="1:27" ht="24.95" customHeight="1" x14ac:dyDescent="0.2">
      <c r="B88" s="752" t="s">
        <v>349</v>
      </c>
      <c r="C88" s="753"/>
      <c r="D88" s="756" t="e">
        <f>(D87/12)*($D$10*43560)</f>
        <v>#DIV/0!</v>
      </c>
      <c r="E88" s="756"/>
      <c r="F88" s="756"/>
      <c r="G88" s="756"/>
      <c r="H88" s="756" t="e">
        <f>(H87/12)*(H10*43560)</f>
        <v>#DIV/0!</v>
      </c>
      <c r="I88" s="756"/>
      <c r="J88" s="756"/>
      <c r="K88" s="756"/>
      <c r="L88" s="426"/>
    </row>
    <row r="89" spans="1:27" ht="24.95" customHeight="1" thickBot="1" x14ac:dyDescent="0.25">
      <c r="B89" s="752" t="s">
        <v>351</v>
      </c>
      <c r="C89" s="753"/>
      <c r="D89" s="809" t="e">
        <f>H128</f>
        <v>#DIV/0!</v>
      </c>
      <c r="E89" s="809"/>
      <c r="F89" s="809"/>
      <c r="G89" s="809"/>
      <c r="H89" s="809" t="e">
        <f>H136</f>
        <v>#DIV/0!</v>
      </c>
      <c r="I89" s="809"/>
      <c r="J89" s="809"/>
      <c r="K89" s="809"/>
      <c r="L89" s="426" t="s">
        <v>159</v>
      </c>
    </row>
    <row r="90" spans="1:27" ht="24.95" customHeight="1" thickTop="1" thickBot="1" x14ac:dyDescent="0.25">
      <c r="B90" s="750" t="s">
        <v>376</v>
      </c>
      <c r="C90" s="751"/>
      <c r="D90" s="436"/>
      <c r="E90" s="436"/>
      <c r="F90" s="436"/>
      <c r="G90" s="436"/>
      <c r="H90" s="436"/>
      <c r="I90" s="436"/>
      <c r="J90" s="436"/>
      <c r="K90" s="437"/>
      <c r="L90" s="426"/>
    </row>
    <row r="91" spans="1:27" ht="24.95" customHeight="1" thickTop="1" x14ac:dyDescent="0.2">
      <c r="B91" s="754" t="s">
        <v>392</v>
      </c>
      <c r="C91" s="753"/>
      <c r="D91" s="755" t="e">
        <f>IF($D$72&gt;'SITE DATA'!F28,0,C125)</f>
        <v>#DIV/0!</v>
      </c>
      <c r="E91" s="755"/>
      <c r="F91" s="755"/>
      <c r="G91" s="755"/>
      <c r="H91" s="755" t="e">
        <f>IF($H$72&gt;'SITE DATA'!F28,0,C133)</f>
        <v>#DIV/0!</v>
      </c>
      <c r="I91" s="755"/>
      <c r="J91" s="755"/>
      <c r="K91" s="755"/>
      <c r="L91" s="566" t="s">
        <v>178</v>
      </c>
    </row>
    <row r="92" spans="1:27" ht="24.95" customHeight="1" x14ac:dyDescent="0.2">
      <c r="B92" s="752" t="s">
        <v>349</v>
      </c>
      <c r="C92" s="753"/>
      <c r="D92" s="756" t="e">
        <f>(D91/12)*($D$10*43560)</f>
        <v>#DIV/0!</v>
      </c>
      <c r="E92" s="756"/>
      <c r="F92" s="756"/>
      <c r="G92" s="756"/>
      <c r="H92" s="756" t="e">
        <f>(H91/12)*($D$10*43560)</f>
        <v>#DIV/0!</v>
      </c>
      <c r="I92" s="756"/>
      <c r="J92" s="756"/>
      <c r="K92" s="756"/>
      <c r="L92" s="426"/>
    </row>
    <row r="93" spans="1:27" ht="24.95" customHeight="1" thickBot="1" x14ac:dyDescent="0.25">
      <c r="B93" s="810" t="s">
        <v>352</v>
      </c>
      <c r="C93" s="811"/>
      <c r="D93" s="808" t="e">
        <f>H129</f>
        <v>#DIV/0!</v>
      </c>
      <c r="E93" s="808"/>
      <c r="F93" s="808"/>
      <c r="G93" s="808"/>
      <c r="H93" s="808" t="e">
        <f>H137</f>
        <v>#DIV/0!</v>
      </c>
      <c r="I93" s="808"/>
      <c r="J93" s="808"/>
      <c r="K93" s="808"/>
      <c r="L93" s="426"/>
    </row>
    <row r="94" spans="1:27" s="507" customFormat="1" ht="24.95" hidden="1" customHeight="1" thickTop="1" x14ac:dyDescent="0.2">
      <c r="B94" s="165"/>
      <c r="C94" s="165"/>
      <c r="D94" s="807" t="e">
        <f>IF($H$93&gt;$D$93,"Post-development peak flow exceeds pre-development peak flow for this DA!","")</f>
        <v>#DIV/0!</v>
      </c>
      <c r="E94" s="807"/>
      <c r="F94" s="807"/>
      <c r="G94" s="807"/>
      <c r="H94" s="807"/>
      <c r="I94" s="807"/>
      <c r="J94" s="807"/>
      <c r="K94" s="807"/>
    </row>
    <row r="95" spans="1:27" s="507" customFormat="1" ht="15" hidden="1" customHeight="1" x14ac:dyDescent="0.2">
      <c r="B95" s="155"/>
      <c r="C95" s="165"/>
      <c r="D95" s="167"/>
      <c r="E95" s="167"/>
      <c r="F95" s="167"/>
      <c r="G95" s="167"/>
      <c r="H95" s="167"/>
      <c r="I95" s="167"/>
      <c r="J95" s="167"/>
      <c r="K95" s="167"/>
      <c r="L95" s="168"/>
    </row>
    <row r="96" spans="1:27" s="169" customFormat="1" ht="15.75" hidden="1" customHeight="1" x14ac:dyDescent="0.25">
      <c r="A96" s="216"/>
      <c r="B96" s="806" t="s">
        <v>126</v>
      </c>
      <c r="C96" s="806"/>
      <c r="D96" s="806"/>
      <c r="E96" s="806"/>
      <c r="F96" s="806"/>
      <c r="G96" s="806"/>
      <c r="H96" s="806"/>
      <c r="I96" s="806"/>
      <c r="J96" s="806"/>
      <c r="K96" s="806"/>
      <c r="L96" s="806"/>
      <c r="M96" s="216"/>
      <c r="N96" s="216"/>
      <c r="O96" s="216"/>
      <c r="P96" s="216"/>
      <c r="Q96" s="216"/>
      <c r="R96" s="216"/>
      <c r="S96" s="216"/>
      <c r="T96" s="216"/>
      <c r="U96" s="216"/>
      <c r="V96" s="216"/>
      <c r="W96" s="216"/>
      <c r="X96" s="216"/>
      <c r="Y96" s="216"/>
      <c r="Z96" s="216"/>
      <c r="AA96" s="216"/>
    </row>
    <row r="97" spans="2:14" s="507" customFormat="1" ht="15" hidden="1" customHeight="1" x14ac:dyDescent="0.2">
      <c r="K97" s="167"/>
      <c r="L97" s="168"/>
    </row>
    <row r="98" spans="2:14" ht="18.75" hidden="1" customHeight="1" thickBot="1" x14ac:dyDescent="0.25">
      <c r="B98" s="855" t="s">
        <v>133</v>
      </c>
      <c r="C98" s="856"/>
      <c r="D98" s="856"/>
      <c r="E98" s="856"/>
      <c r="F98" s="856"/>
      <c r="G98" s="856"/>
      <c r="H98" s="856"/>
      <c r="I98" s="856"/>
      <c r="J98" s="170"/>
      <c r="K98" s="507"/>
      <c r="L98" s="507"/>
    </row>
    <row r="99" spans="2:14" ht="60" hidden="1" customHeight="1" x14ac:dyDescent="0.2">
      <c r="B99" s="171" t="s">
        <v>14</v>
      </c>
      <c r="C99" s="172" t="s">
        <v>15</v>
      </c>
      <c r="D99" s="172" t="s">
        <v>16</v>
      </c>
      <c r="E99" s="172" t="s">
        <v>18</v>
      </c>
      <c r="F99" s="172" t="s">
        <v>17</v>
      </c>
      <c r="G99" s="224" t="s">
        <v>289</v>
      </c>
      <c r="H99" s="225" t="s">
        <v>290</v>
      </c>
      <c r="I99" s="250" t="s">
        <v>377</v>
      </c>
      <c r="J99" s="249"/>
      <c r="K99" s="508"/>
      <c r="L99" s="507"/>
    </row>
    <row r="100" spans="2:14" ht="15" hidden="1" customHeight="1" x14ac:dyDescent="0.2">
      <c r="B100" s="173" t="s">
        <v>12</v>
      </c>
      <c r="C100" s="568">
        <v>39</v>
      </c>
      <c r="D100" s="568">
        <v>61</v>
      </c>
      <c r="E100" s="568">
        <v>74</v>
      </c>
      <c r="F100" s="568">
        <v>80</v>
      </c>
      <c r="G100" s="567">
        <f t="shared" ref="G100:G107" si="0">(C100*D17)+(D100*E17)+(E100*F17)+(F100*G17)</f>
        <v>0</v>
      </c>
      <c r="H100" s="569">
        <f>($C$100*$H$17)+($D$100*$I$17)+($E$100*$J$17)+($F$100*$K$17)</f>
        <v>0</v>
      </c>
      <c r="I100" s="251">
        <f>($C$100*$H$17)+($D$100*$I$17)+($E$100*$J$17)+($F$100*$K$17)</f>
        <v>0</v>
      </c>
      <c r="J100" s="508"/>
      <c r="K100" s="508"/>
      <c r="L100" s="507"/>
    </row>
    <row r="101" spans="2:14" ht="18" hidden="1" customHeight="1" x14ac:dyDescent="0.2">
      <c r="B101" s="173" t="s">
        <v>233</v>
      </c>
      <c r="C101" s="568">
        <v>45</v>
      </c>
      <c r="D101" s="568">
        <v>66</v>
      </c>
      <c r="E101" s="568">
        <v>77</v>
      </c>
      <c r="F101" s="568">
        <v>83</v>
      </c>
      <c r="G101" s="567">
        <f t="shared" si="0"/>
        <v>0</v>
      </c>
      <c r="H101" s="569">
        <f>($C$101*$H$18)+($D$101*$I$18)+($E$101*$J$18)+($F$101*$K$18)</f>
        <v>0</v>
      </c>
      <c r="I101" s="251">
        <f>($C$101*$H$18)+($D$101*$I$18)+($E$101*$J$18)+($F$101*$K$18)</f>
        <v>0</v>
      </c>
      <c r="J101" s="508"/>
      <c r="K101" s="508"/>
      <c r="L101" s="507"/>
    </row>
    <row r="102" spans="2:14" ht="18" hidden="1" customHeight="1" x14ac:dyDescent="0.2">
      <c r="B102" s="173" t="s">
        <v>235</v>
      </c>
      <c r="C102" s="568">
        <v>36</v>
      </c>
      <c r="D102" s="568">
        <v>60</v>
      </c>
      <c r="E102" s="568">
        <v>73</v>
      </c>
      <c r="F102" s="568">
        <v>79</v>
      </c>
      <c r="G102" s="567">
        <f t="shared" si="0"/>
        <v>0</v>
      </c>
      <c r="H102" s="569">
        <f>($C$102*$H$19)+($D$102*$I$19)+($E$102*$J$19)+($F$102*$K$19)</f>
        <v>0</v>
      </c>
      <c r="I102" s="251">
        <f>($C$102*$H$19)+($D$102*$I$19)+($E$102*$J$19)+($F$102*$K$19)</f>
        <v>0</v>
      </c>
      <c r="J102" s="508"/>
      <c r="K102" s="508"/>
      <c r="L102" s="507"/>
    </row>
    <row r="103" spans="2:14" ht="18" hidden="1" customHeight="1" x14ac:dyDescent="0.2">
      <c r="B103" s="173" t="s">
        <v>236</v>
      </c>
      <c r="C103" s="568">
        <v>30</v>
      </c>
      <c r="D103" s="568">
        <v>55</v>
      </c>
      <c r="E103" s="568">
        <v>70</v>
      </c>
      <c r="F103" s="568">
        <v>77</v>
      </c>
      <c r="G103" s="567">
        <f t="shared" si="0"/>
        <v>0</v>
      </c>
      <c r="H103" s="569">
        <f>($C$103*$H$20)+($D$103*$I$20)+($E$103*$J$20)+($F$103*$K$20)</f>
        <v>0</v>
      </c>
      <c r="I103" s="251">
        <f>($C$103*$H$20)+($D$103*$I$20)+($E$103*$J$20)+($F$103*$K$20)</f>
        <v>0</v>
      </c>
      <c r="J103" s="508"/>
      <c r="K103" s="508"/>
      <c r="L103" s="507"/>
    </row>
    <row r="104" spans="2:14" ht="18" hidden="1" customHeight="1" x14ac:dyDescent="0.2">
      <c r="B104" s="173" t="s">
        <v>234</v>
      </c>
      <c r="C104" s="568">
        <v>68</v>
      </c>
      <c r="D104" s="568">
        <v>79</v>
      </c>
      <c r="E104" s="568">
        <v>86</v>
      </c>
      <c r="F104" s="568">
        <v>89</v>
      </c>
      <c r="G104" s="567">
        <f t="shared" si="0"/>
        <v>0</v>
      </c>
      <c r="H104" s="569">
        <f>($C$104*$H$21)+($D$104*$I$21)+($E$104*$J$21)+($F$104*$K$21)</f>
        <v>0</v>
      </c>
      <c r="I104" s="251">
        <f>($C$104*$H$21)+($D$104*$I$21)+($E$104*$J$21)+($F$104*$K$21)</f>
        <v>0</v>
      </c>
      <c r="J104" s="508"/>
      <c r="K104" s="508"/>
      <c r="L104" s="507"/>
    </row>
    <row r="105" spans="2:14" ht="18" hidden="1" customHeight="1" x14ac:dyDescent="0.2">
      <c r="B105" s="173" t="s">
        <v>237</v>
      </c>
      <c r="C105" s="568">
        <v>49</v>
      </c>
      <c r="D105" s="568">
        <v>69</v>
      </c>
      <c r="E105" s="568">
        <v>79</v>
      </c>
      <c r="F105" s="568">
        <v>84</v>
      </c>
      <c r="G105" s="567">
        <f t="shared" si="0"/>
        <v>0</v>
      </c>
      <c r="H105" s="569">
        <f>($C$105*$H$22)+($D$105*$I$22)+($E$105*$J$22)+($F$105*$K$22)</f>
        <v>0</v>
      </c>
      <c r="I105" s="251">
        <f>($C$105*$H$22)+($D$105*$I$22)+($E$105*$J$22)+($F$105*$K$22)</f>
        <v>0</v>
      </c>
      <c r="J105" s="508"/>
      <c r="K105" s="508"/>
      <c r="L105" s="507"/>
    </row>
    <row r="106" spans="2:14" ht="18" hidden="1" customHeight="1" x14ac:dyDescent="0.2">
      <c r="B106" s="173" t="s">
        <v>238</v>
      </c>
      <c r="C106" s="568">
        <v>39</v>
      </c>
      <c r="D106" s="568">
        <v>61</v>
      </c>
      <c r="E106" s="568">
        <v>74</v>
      </c>
      <c r="F106" s="568">
        <v>80</v>
      </c>
      <c r="G106" s="567">
        <f t="shared" si="0"/>
        <v>0</v>
      </c>
      <c r="H106" s="569">
        <f>($C$106*$H$23)+($D$106*$I$23)+($E$106*$J$23)+($F$106*$K$23)</f>
        <v>0</v>
      </c>
      <c r="I106" s="251">
        <f>($C$106*$H$23)+($D$106*$I$23)+($E$106*$J$23)+($F$106*$K$23)</f>
        <v>0</v>
      </c>
      <c r="J106" s="508"/>
      <c r="K106" s="508"/>
      <c r="L106" s="507"/>
    </row>
    <row r="107" spans="2:14" ht="15" hidden="1" customHeight="1" x14ac:dyDescent="0.2">
      <c r="B107" s="173" t="s">
        <v>245</v>
      </c>
      <c r="C107" s="568">
        <v>30</v>
      </c>
      <c r="D107" s="568">
        <v>55</v>
      </c>
      <c r="E107" s="568">
        <v>70</v>
      </c>
      <c r="F107" s="568">
        <v>77</v>
      </c>
      <c r="G107" s="567">
        <f t="shared" si="0"/>
        <v>0</v>
      </c>
      <c r="H107" s="569">
        <f>($C$107*$H$24)+($D$107*$I$24)+($E$107*$J$24)+($F$107*$K$24)</f>
        <v>0</v>
      </c>
      <c r="I107" s="251">
        <f>($C$107*$H$24)+($D$107*$I$24)+($E$107*$J$24)+($F$107*$K$24)</f>
        <v>0</v>
      </c>
      <c r="J107" s="508"/>
      <c r="K107" s="508"/>
      <c r="L107" s="507"/>
    </row>
    <row r="108" spans="2:14" ht="18.75" hidden="1" customHeight="1" thickBot="1" x14ac:dyDescent="0.25">
      <c r="B108" s="175" t="s">
        <v>243</v>
      </c>
      <c r="C108" s="176">
        <v>98</v>
      </c>
      <c r="D108" s="176">
        <v>98</v>
      </c>
      <c r="E108" s="177">
        <v>98</v>
      </c>
      <c r="F108" s="177">
        <v>98</v>
      </c>
      <c r="G108" s="228">
        <f>(C108*(D26+D25))+(D108*(E26+E25))+(E108*(F26+F25))+(F108*(G26+G25))</f>
        <v>0</v>
      </c>
      <c r="H108" s="229">
        <f>($C$108*(H25+H26))+($D$108*(I25+I26))+($E$108*(J25+J26))+($F$108*(K25+K26))</f>
        <v>0</v>
      </c>
      <c r="I108" s="252">
        <f>($C$108*H26)+($D$108*I26)+($E$108*J26)+($F$108*K26)</f>
        <v>0</v>
      </c>
      <c r="J108" s="508" t="s">
        <v>370</v>
      </c>
      <c r="K108" s="508"/>
      <c r="L108" s="507"/>
    </row>
    <row r="109" spans="2:14" ht="15.75" hidden="1" customHeight="1" thickBot="1" x14ac:dyDescent="0.25">
      <c r="B109" s="178"/>
      <c r="C109" s="146"/>
      <c r="D109" s="146"/>
      <c r="E109" s="869" t="s">
        <v>265</v>
      </c>
      <c r="F109" s="870"/>
      <c r="G109" s="414" t="e">
        <f>ROUND((SUM(G100:G108)/SUM(D17:G26)),2)</f>
        <v>#DIV/0!</v>
      </c>
      <c r="H109" s="414" t="e">
        <f>ROUND((SUM(H100:H108)/SUM(H17:K26)),2)</f>
        <v>#DIV/0!</v>
      </c>
      <c r="I109" s="415" t="e">
        <f>ROUND(SUM(I100:I108)/(SUM(H17:K26)-SUM(H25:K25)),2)</f>
        <v>#DIV/0!</v>
      </c>
      <c r="J109" s="508"/>
      <c r="K109" s="508"/>
      <c r="L109" s="507"/>
    </row>
    <row r="110" spans="2:14" ht="15" hidden="1" customHeight="1" x14ac:dyDescent="0.2">
      <c r="B110" s="509"/>
      <c r="C110" s="506"/>
      <c r="D110" s="506"/>
      <c r="E110" s="159"/>
      <c r="F110" s="159"/>
      <c r="G110" s="159"/>
      <c r="H110" s="506"/>
      <c r="I110" s="506"/>
      <c r="J110" s="507"/>
      <c r="K110" s="167"/>
      <c r="L110" s="168"/>
    </row>
    <row r="111" spans="2:14" ht="15.75" hidden="1" customHeight="1" thickBot="1" x14ac:dyDescent="0.25">
      <c r="B111" s="507"/>
      <c r="C111" s="507"/>
      <c r="D111" s="506"/>
      <c r="E111" s="507"/>
      <c r="F111" s="507"/>
      <c r="G111" s="507"/>
      <c r="H111" s="507"/>
      <c r="I111" s="507"/>
      <c r="J111" s="507"/>
      <c r="K111" s="507"/>
    </row>
    <row r="112" spans="2:14" ht="18.75" hidden="1" customHeight="1" thickBot="1" x14ac:dyDescent="0.3">
      <c r="B112" s="836" t="s">
        <v>383</v>
      </c>
      <c r="C112" s="837"/>
      <c r="D112" s="506"/>
      <c r="E112" s="849" t="s">
        <v>55</v>
      </c>
      <c r="F112" s="850"/>
      <c r="G112" s="850"/>
      <c r="H112" s="850"/>
      <c r="I112" s="850"/>
      <c r="J112" s="850"/>
      <c r="K112" s="850"/>
      <c r="L112" s="850"/>
      <c r="M112" s="850"/>
      <c r="N112" s="851"/>
    </row>
    <row r="113" spans="2:14" ht="15" hidden="1" customHeight="1" x14ac:dyDescent="0.2">
      <c r="B113" s="838"/>
      <c r="C113" s="839"/>
      <c r="D113" s="506"/>
      <c r="E113" s="865" t="s">
        <v>32</v>
      </c>
      <c r="F113" s="866"/>
      <c r="G113" s="866"/>
      <c r="H113" s="866"/>
      <c r="I113" s="866"/>
      <c r="J113" s="866"/>
      <c r="K113" s="866"/>
      <c r="L113" s="866"/>
      <c r="M113" s="866"/>
      <c r="N113" s="867"/>
    </row>
    <row r="114" spans="2:14" ht="18" hidden="1" customHeight="1" x14ac:dyDescent="0.2">
      <c r="B114" s="64"/>
      <c r="C114" s="113"/>
      <c r="D114" s="506"/>
      <c r="E114" s="265"/>
      <c r="F114" s="159"/>
      <c r="G114" s="266"/>
      <c r="H114" s="266"/>
      <c r="I114" s="266"/>
      <c r="J114" s="266"/>
      <c r="K114" s="510"/>
      <c r="L114" s="181"/>
      <c r="M114" s="506"/>
      <c r="N114" s="513"/>
    </row>
    <row r="115" spans="2:14" ht="20.25" hidden="1" customHeight="1" x14ac:dyDescent="0.35">
      <c r="B115" s="863" t="s">
        <v>40</v>
      </c>
      <c r="C115" s="864"/>
      <c r="D115" s="506"/>
      <c r="E115" s="265"/>
      <c r="F115" s="266"/>
      <c r="G115" s="267" t="s">
        <v>149</v>
      </c>
      <c r="H115" s="267"/>
      <c r="I115" s="268"/>
      <c r="J115" s="506" t="s">
        <v>138</v>
      </c>
      <c r="K115" s="510"/>
      <c r="L115" s="181"/>
      <c r="M115" s="506"/>
      <c r="N115" s="513"/>
    </row>
    <row r="116" spans="2:14" ht="60" hidden="1" customHeight="1" x14ac:dyDescent="0.2">
      <c r="B116" s="863" t="s">
        <v>22</v>
      </c>
      <c r="C116" s="864"/>
      <c r="D116" s="182" t="s">
        <v>304</v>
      </c>
      <c r="E116" s="265"/>
      <c r="F116" s="266"/>
      <c r="G116" s="267" t="s">
        <v>33</v>
      </c>
      <c r="H116" s="267"/>
      <c r="I116" s="267"/>
      <c r="J116" s="510"/>
      <c r="K116" s="267" t="s">
        <v>33</v>
      </c>
      <c r="L116" s="181"/>
      <c r="M116" s="506"/>
      <c r="N116" s="513"/>
    </row>
    <row r="117" spans="2:14" ht="19.5" hidden="1" customHeight="1" x14ac:dyDescent="0.35">
      <c r="B117" s="183" t="s">
        <v>45</v>
      </c>
      <c r="C117" s="184"/>
      <c r="D117" s="506"/>
      <c r="E117" s="265"/>
      <c r="F117" s="266"/>
      <c r="G117" s="267" t="s">
        <v>128</v>
      </c>
      <c r="H117" s="267"/>
      <c r="I117" s="267"/>
      <c r="J117" s="266"/>
      <c r="K117" s="506" t="s">
        <v>139</v>
      </c>
      <c r="L117" s="181"/>
      <c r="M117" s="506"/>
      <c r="N117" s="513"/>
    </row>
    <row r="118" spans="2:14" ht="19.5" hidden="1" customHeight="1" x14ac:dyDescent="0.35">
      <c r="B118" s="183" t="s">
        <v>41</v>
      </c>
      <c r="C118" s="114"/>
      <c r="D118" s="506"/>
      <c r="E118" s="265"/>
      <c r="F118" s="181"/>
      <c r="G118" s="267" t="s">
        <v>158</v>
      </c>
      <c r="H118" s="268"/>
      <c r="I118" s="268"/>
      <c r="J118" s="268"/>
      <c r="K118" s="506" t="s">
        <v>140</v>
      </c>
      <c r="L118" s="181"/>
      <c r="M118" s="506"/>
      <c r="N118" s="513"/>
    </row>
    <row r="119" spans="2:14" ht="20.25" hidden="1" customHeight="1" x14ac:dyDescent="0.35">
      <c r="B119" s="185"/>
      <c r="C119" s="184"/>
      <c r="D119" s="506"/>
      <c r="E119" s="265"/>
      <c r="F119" s="266"/>
      <c r="G119" s="267" t="s">
        <v>130</v>
      </c>
      <c r="H119" s="267"/>
      <c r="I119" s="267"/>
      <c r="J119" s="266"/>
      <c r="K119" s="510"/>
      <c r="L119" s="269"/>
      <c r="M119" s="506"/>
      <c r="N119" s="513"/>
    </row>
    <row r="120" spans="2:14" ht="15" hidden="1" customHeight="1" x14ac:dyDescent="0.2">
      <c r="B120" s="186" t="s">
        <v>48</v>
      </c>
      <c r="C120" s="184"/>
      <c r="D120" s="506"/>
      <c r="E120" s="265"/>
      <c r="F120" s="266"/>
      <c r="G120" s="267" t="s">
        <v>34</v>
      </c>
      <c r="H120" s="267"/>
      <c r="I120" s="267"/>
      <c r="J120" s="266"/>
      <c r="K120" s="510"/>
      <c r="L120" s="269"/>
      <c r="M120" s="506"/>
      <c r="N120" s="513"/>
    </row>
    <row r="121" spans="2:14" ht="19.5" hidden="1" customHeight="1" x14ac:dyDescent="0.35">
      <c r="B121" s="51" t="s">
        <v>20</v>
      </c>
      <c r="C121" s="187" t="s">
        <v>42</v>
      </c>
      <c r="D121" s="506"/>
      <c r="E121" s="265"/>
      <c r="F121" s="159"/>
      <c r="G121" s="267" t="s">
        <v>150</v>
      </c>
      <c r="H121" s="506"/>
      <c r="I121" s="506"/>
      <c r="J121" s="270"/>
      <c r="K121" s="506"/>
      <c r="L121" s="271"/>
      <c r="M121" s="506"/>
      <c r="N121" s="513"/>
    </row>
    <row r="122" spans="2:14" ht="15.75" hidden="1" customHeight="1" x14ac:dyDescent="0.2">
      <c r="B122" s="51" t="s">
        <v>20</v>
      </c>
      <c r="C122" s="115" t="e">
        <f>(1000/$G$109)-10</f>
        <v>#DIV/0!</v>
      </c>
      <c r="D122" s="506"/>
      <c r="E122" s="860" t="s">
        <v>35</v>
      </c>
      <c r="F122" s="861"/>
      <c r="G122" s="861"/>
      <c r="H122" s="861"/>
      <c r="I122" s="861"/>
      <c r="J122" s="861"/>
      <c r="K122" s="861"/>
      <c r="L122" s="861"/>
      <c r="M122" s="861"/>
      <c r="N122" s="862"/>
    </row>
    <row r="123" spans="2:14" ht="19.5" hidden="1" customHeight="1" x14ac:dyDescent="0.25">
      <c r="B123" s="188" t="s">
        <v>330</v>
      </c>
      <c r="C123" s="76" t="e">
        <f>(($D$11-(0.2*$C$122))^2)/($D$11+(0.8*$C$122))</f>
        <v>#DIV/0!</v>
      </c>
      <c r="D123" s="506"/>
      <c r="E123" s="265"/>
      <c r="F123" s="272"/>
      <c r="G123" s="269" t="s">
        <v>61</v>
      </c>
      <c r="H123" s="273" t="e">
        <f>N125</f>
        <v>#DIV/0!</v>
      </c>
      <c r="I123" s="269" t="s">
        <v>36</v>
      </c>
      <c r="J123" s="506"/>
      <c r="K123" s="511" t="s">
        <v>141</v>
      </c>
      <c r="L123" s="190" t="e">
        <f>IF(D73&gt;0.475,$J$147,IF(D73&gt;0.425,$J$146,IF(D73&gt;0.375,$J$145,IF(D73&gt;0.325,$J$144,IF(D73&gt;0.2,$J$143,$J$142)))))</f>
        <v>#DIV/0!</v>
      </c>
      <c r="M123" s="191"/>
      <c r="N123" s="232"/>
    </row>
    <row r="124" spans="2:14" ht="19.5" hidden="1" customHeight="1" x14ac:dyDescent="0.35">
      <c r="B124" s="188" t="s">
        <v>331</v>
      </c>
      <c r="C124" s="76" t="e">
        <f>(($D$12-(0.2*$C$122))^2)/($D$12+(0.8*$C$122))</f>
        <v>#DIV/0!</v>
      </c>
      <c r="D124" s="506"/>
      <c r="E124" s="274"/>
      <c r="F124" s="272"/>
      <c r="G124" s="269" t="s">
        <v>62</v>
      </c>
      <c r="H124" s="275">
        <f>(D9/640)</f>
        <v>0</v>
      </c>
      <c r="I124" s="269" t="s">
        <v>63</v>
      </c>
      <c r="J124" s="506"/>
      <c r="K124" s="511" t="s">
        <v>142</v>
      </c>
      <c r="L124" s="192" t="e">
        <f>IF(L123=J142,K142,IF(L123=J143,K143,IF(L123=J144,K144,IF(L123=J145,K145,IF(L123=J146,K146,IF(L123=J147,K147,""))))))</f>
        <v>#DIV/0!</v>
      </c>
      <c r="M124" s="165" t="s">
        <v>145</v>
      </c>
      <c r="N124" s="513" t="e">
        <f>L124+(L125*LOG(N126))+(L126*((LOG(N126))^2))</f>
        <v>#DIV/0!</v>
      </c>
    </row>
    <row r="125" spans="2:14" ht="19.5" hidden="1" customHeight="1" x14ac:dyDescent="0.35">
      <c r="B125" s="188" t="s">
        <v>332</v>
      </c>
      <c r="C125" s="76" t="e">
        <f>(($D$13-(0.2*$C$122))^2)/($D$13+(0.8*$C$122))</f>
        <v>#DIV/0!</v>
      </c>
      <c r="D125" s="506"/>
      <c r="E125" s="276" t="s">
        <v>151</v>
      </c>
      <c r="F125" s="277" t="e">
        <f>($D$15/$D$9)*100</f>
        <v>#DIV/0!</v>
      </c>
      <c r="G125" s="278" t="s">
        <v>169</v>
      </c>
      <c r="H125" s="273" t="e">
        <f>IF($F$125&gt;4.44,$N$157,IF($F$125&gt;2.44,$N$156,IF($F$125&gt;0.45,$N$155,IF($F$125&gt;0.144,$N$154,1))))</f>
        <v>#DIV/0!</v>
      </c>
      <c r="I125" s="269"/>
      <c r="J125" s="506"/>
      <c r="K125" s="511" t="s">
        <v>143</v>
      </c>
      <c r="L125" s="192" t="e">
        <f>IF($L$123=J142,L142,IF($L$123=J143,L143,IF($L$123=J144,L144,IF($L$123=J145,L145,IF($L$123=J146,L146,IF($L$123=J147,L147,""))))))</f>
        <v>#DIV/0!</v>
      </c>
      <c r="M125" s="165" t="s">
        <v>146</v>
      </c>
      <c r="N125" s="513" t="e">
        <f>10^N124</f>
        <v>#DIV/0!</v>
      </c>
    </row>
    <row r="126" spans="2:14" ht="19.5" hidden="1" customHeight="1" x14ac:dyDescent="0.35">
      <c r="B126" s="186" t="s">
        <v>49</v>
      </c>
      <c r="C126" s="184"/>
      <c r="D126" s="506"/>
      <c r="E126" s="233"/>
      <c r="F126" s="234"/>
      <c r="G126" s="234"/>
      <c r="H126" s="234"/>
      <c r="I126" s="234"/>
      <c r="J126" s="506"/>
      <c r="K126" s="511" t="s">
        <v>144</v>
      </c>
      <c r="L126" s="192" t="e">
        <f>IF($L$123=J142,M142,IF($L$123=J143,M143,IF($L$123=J144,M144,IF($L$123=J145,M145,IF($L$123=J146,M146,IF($L$123=J147,M147,""))))))</f>
        <v>#DIV/0!</v>
      </c>
      <c r="M126" s="165" t="s">
        <v>72</v>
      </c>
      <c r="N126" s="235">
        <f>D70</f>
        <v>0</v>
      </c>
    </row>
    <row r="127" spans="2:14" ht="18.75" hidden="1" customHeight="1" x14ac:dyDescent="0.2">
      <c r="B127" s="186"/>
      <c r="C127" s="184"/>
      <c r="D127" s="506"/>
      <c r="E127" s="276"/>
      <c r="F127" s="277"/>
      <c r="G127" s="279" t="s">
        <v>37</v>
      </c>
      <c r="H127" s="280" t="e">
        <f>$H$124*C123*$H$125*$H$123</f>
        <v>#DIV/0!</v>
      </c>
      <c r="I127" s="279" t="s">
        <v>38</v>
      </c>
      <c r="J127" s="506"/>
      <c r="K127" s="511"/>
      <c r="L127" s="192"/>
      <c r="M127" s="165"/>
      <c r="N127" s="235"/>
    </row>
    <row r="128" spans="2:14" ht="18.75" hidden="1" customHeight="1" x14ac:dyDescent="0.2">
      <c r="B128" s="186"/>
      <c r="C128" s="184"/>
      <c r="D128" s="506"/>
      <c r="E128" s="276"/>
      <c r="F128" s="277"/>
      <c r="G128" s="279" t="s">
        <v>327</v>
      </c>
      <c r="H128" s="280" t="e">
        <f>$H$124*C124*$H$125*$H$123</f>
        <v>#DIV/0!</v>
      </c>
      <c r="I128" s="279" t="s">
        <v>38</v>
      </c>
      <c r="J128" s="506"/>
      <c r="K128" s="511"/>
      <c r="L128" s="192"/>
      <c r="M128" s="165"/>
      <c r="N128" s="235"/>
    </row>
    <row r="129" spans="2:14" ht="18.75" hidden="1" customHeight="1" x14ac:dyDescent="0.2">
      <c r="B129" s="51" t="s">
        <v>20</v>
      </c>
      <c r="C129" s="187" t="s">
        <v>42</v>
      </c>
      <c r="D129" s="506"/>
      <c r="E129" s="265"/>
      <c r="F129" s="281"/>
      <c r="G129" s="279" t="s">
        <v>328</v>
      </c>
      <c r="H129" s="280" t="e">
        <f>$H$124*C125*$H$125*$H$123</f>
        <v>#DIV/0!</v>
      </c>
      <c r="I129" s="279" t="s">
        <v>38</v>
      </c>
      <c r="J129" s="506"/>
      <c r="K129" s="506"/>
      <c r="L129" s="159"/>
      <c r="M129" s="506"/>
      <c r="N129" s="202"/>
    </row>
    <row r="130" spans="2:14" ht="15.75" hidden="1" customHeight="1" x14ac:dyDescent="0.25">
      <c r="B130" s="51" t="s">
        <v>20</v>
      </c>
      <c r="C130" s="115" t="e">
        <f>(1000/D77)-10</f>
        <v>#DIV/0!</v>
      </c>
      <c r="D130" s="506"/>
      <c r="E130" s="857" t="s">
        <v>47</v>
      </c>
      <c r="F130" s="858"/>
      <c r="G130" s="858"/>
      <c r="H130" s="858"/>
      <c r="I130" s="858"/>
      <c r="J130" s="858"/>
      <c r="K130" s="858"/>
      <c r="L130" s="858"/>
      <c r="M130" s="858"/>
      <c r="N130" s="859"/>
    </row>
    <row r="131" spans="2:14" ht="19.5" hidden="1" customHeight="1" x14ac:dyDescent="0.25">
      <c r="B131" s="188" t="s">
        <v>330</v>
      </c>
      <c r="C131" s="76" t="e">
        <f>($D$11-(0.2*$C$130))^2/($D$11+(0.8*$C$130))</f>
        <v>#DIV/0!</v>
      </c>
      <c r="D131" s="506"/>
      <c r="E131" s="282"/>
      <c r="F131" s="272"/>
      <c r="G131" s="269" t="s">
        <v>61</v>
      </c>
      <c r="H131" s="273" t="e">
        <f>N133</f>
        <v>#DIV/0!</v>
      </c>
      <c r="I131" s="269" t="s">
        <v>36</v>
      </c>
      <c r="J131" s="506"/>
      <c r="K131" s="511" t="s">
        <v>141</v>
      </c>
      <c r="L131" s="190" t="e">
        <f>IF(H73&gt;0.475,$J$147,IF(H73&gt;0.425,$J$146,IF(H73&gt;0.375,$J$145,IF(H73&gt;0.325,$J$144,IF(H73&gt;0.2,$J$143,$J$142)))))</f>
        <v>#DIV/0!</v>
      </c>
      <c r="M131" s="506"/>
      <c r="N131" s="202"/>
    </row>
    <row r="132" spans="2:14" ht="19.5" hidden="1" customHeight="1" x14ac:dyDescent="0.35">
      <c r="B132" s="188" t="s">
        <v>331</v>
      </c>
      <c r="C132" s="76" t="e">
        <f>($D$12-(0.2*$C$130))^2/($D$12+(0.8*$C$130))</f>
        <v>#DIV/0!</v>
      </c>
      <c r="D132" s="506"/>
      <c r="E132" s="265"/>
      <c r="F132" s="283"/>
      <c r="G132" s="269" t="s">
        <v>62</v>
      </c>
      <c r="H132" s="275">
        <f>(H9/640)</f>
        <v>0</v>
      </c>
      <c r="I132" s="269" t="s">
        <v>63</v>
      </c>
      <c r="J132" s="506"/>
      <c r="K132" s="511" t="s">
        <v>142</v>
      </c>
      <c r="L132" s="192" t="e">
        <f>IF($L$131=J142,K142,IF($L$131=J143,K143,IF($L$131=J144,K144,IF($L$131=J145,K145,IF($L$131=J146,K146,IF($L$131=J147,K147,""))))))</f>
        <v>#DIV/0!</v>
      </c>
      <c r="M132" s="165" t="s">
        <v>145</v>
      </c>
      <c r="N132" s="202" t="e">
        <f>L132+(L133*LOG(N134))+(L134*((LOG(N134))^2))</f>
        <v>#DIV/0!</v>
      </c>
    </row>
    <row r="133" spans="2:14" ht="20.25" hidden="1" customHeight="1" thickBot="1" x14ac:dyDescent="0.4">
      <c r="B133" s="193" t="s">
        <v>332</v>
      </c>
      <c r="C133" s="138" t="e">
        <f>($D$13-(0.2*$C$130))^2/($D$13+(0.8*$C$130))</f>
        <v>#DIV/0!</v>
      </c>
      <c r="D133" s="506"/>
      <c r="E133" s="276" t="s">
        <v>151</v>
      </c>
      <c r="F133" s="277" t="e">
        <f>($H$15/$H$9)*100</f>
        <v>#DIV/0!</v>
      </c>
      <c r="G133" s="278" t="s">
        <v>169</v>
      </c>
      <c r="H133" s="273" t="e">
        <f>IF(F133&gt;4.44,$N$157,IF(F133&gt;2.44,$N$156,IF(F133&gt;0.45,$N$155,IF(F133&gt;0.144,$N$154,1))))</f>
        <v>#DIV/0!</v>
      </c>
      <c r="I133" s="279" t="s">
        <v>38</v>
      </c>
      <c r="J133" s="506"/>
      <c r="K133" s="511" t="s">
        <v>143</v>
      </c>
      <c r="L133" s="192" t="e">
        <f>IF($L$131=J142,L142,IF($L$131=J143,L143,IF($L$131=J144,L144,IF($L$131=J145,L145,IF($L$131=J146,L146,IF($L$131=J147,L147,""))))))</f>
        <v>#DIV/0!</v>
      </c>
      <c r="M133" s="165" t="s">
        <v>146</v>
      </c>
      <c r="N133" s="202" t="e">
        <f>10^N132</f>
        <v>#DIV/0!</v>
      </c>
    </row>
    <row r="134" spans="2:14" ht="19.5" hidden="1" customHeight="1" x14ac:dyDescent="0.35">
      <c r="B134" s="74"/>
      <c r="C134" s="93"/>
      <c r="D134" s="194"/>
      <c r="E134" s="276"/>
      <c r="F134" s="277"/>
      <c r="G134" s="278"/>
      <c r="H134" s="273"/>
      <c r="I134" s="279"/>
      <c r="J134" s="506"/>
      <c r="K134" s="511" t="s">
        <v>144</v>
      </c>
      <c r="L134" s="192" t="e">
        <f>IF($L$131=J142,M142,IF($L$131=J143,M143,IF($L$131=J144,M144,IF($L$131=J145,M145,IF($L$131=J146,M146,IF($L$131=J147,M147,""))))))</f>
        <v>#DIV/0!</v>
      </c>
      <c r="M134" s="165" t="s">
        <v>72</v>
      </c>
      <c r="N134" s="235">
        <f>H70</f>
        <v>0</v>
      </c>
    </row>
    <row r="135" spans="2:14" ht="18.75" hidden="1" customHeight="1" x14ac:dyDescent="0.25">
      <c r="B135" s="74"/>
      <c r="C135" s="93"/>
      <c r="D135" s="194"/>
      <c r="E135" s="276"/>
      <c r="F135" s="277"/>
      <c r="G135" s="279" t="s">
        <v>37</v>
      </c>
      <c r="H135" s="280" t="e">
        <f>$H$132*$C$131*$H$133*$H$131</f>
        <v>#DIV/0!</v>
      </c>
      <c r="I135" s="279" t="s">
        <v>38</v>
      </c>
      <c r="J135" s="506"/>
      <c r="K135" s="511"/>
      <c r="L135" s="192"/>
      <c r="M135" s="165"/>
      <c r="N135" s="235"/>
    </row>
    <row r="136" spans="2:14" ht="18.75" hidden="1" customHeight="1" x14ac:dyDescent="0.25">
      <c r="B136" s="74"/>
      <c r="C136" s="93"/>
      <c r="D136" s="194"/>
      <c r="E136" s="276"/>
      <c r="F136" s="277"/>
      <c r="G136" s="279" t="s">
        <v>327</v>
      </c>
      <c r="H136" s="280" t="e">
        <f>$H$132*$C$132*$H$133*$H$131</f>
        <v>#DIV/0!</v>
      </c>
      <c r="I136" s="279" t="s">
        <v>38</v>
      </c>
      <c r="J136" s="506"/>
      <c r="K136" s="511"/>
      <c r="L136" s="192"/>
      <c r="M136" s="165"/>
      <c r="N136" s="235"/>
    </row>
    <row r="137" spans="2:14" ht="19.5" hidden="1" customHeight="1" thickBot="1" x14ac:dyDescent="0.25">
      <c r="B137" s="195"/>
      <c r="C137" s="75"/>
      <c r="D137" s="506"/>
      <c r="E137" s="211"/>
      <c r="F137" s="501"/>
      <c r="G137" s="285" t="s">
        <v>328</v>
      </c>
      <c r="H137" s="284" t="e">
        <f>$H$132*$C$133*$H$133*$H$131</f>
        <v>#DIV/0!</v>
      </c>
      <c r="I137" s="285" t="s">
        <v>38</v>
      </c>
      <c r="J137" s="501"/>
      <c r="K137" s="501"/>
      <c r="L137" s="236"/>
      <c r="M137" s="501"/>
      <c r="N137" s="222"/>
    </row>
    <row r="138" spans="2:14" ht="15.75" hidden="1" customHeight="1" thickBot="1" x14ac:dyDescent="0.25">
      <c r="B138" s="507"/>
      <c r="C138" s="507"/>
      <c r="D138" s="507"/>
      <c r="E138" s="160"/>
      <c r="F138" s="160"/>
      <c r="G138" s="160"/>
      <c r="H138" s="507"/>
      <c r="I138" s="198"/>
      <c r="J138" s="506"/>
      <c r="K138" s="506"/>
      <c r="L138" s="159"/>
      <c r="M138" s="506"/>
      <c r="N138" s="465"/>
    </row>
    <row r="139" spans="2:14" ht="15.75" hidden="1" customHeight="1" thickBot="1" x14ac:dyDescent="0.25">
      <c r="B139" s="507"/>
      <c r="C139" s="507"/>
      <c r="D139" s="507"/>
      <c r="E139" s="160"/>
      <c r="F139" s="160"/>
      <c r="G139" s="160"/>
      <c r="H139" s="507"/>
      <c r="I139" s="198"/>
      <c r="J139" s="871" t="s">
        <v>152</v>
      </c>
      <c r="K139" s="872"/>
      <c r="L139" s="872"/>
      <c r="M139" s="873"/>
      <c r="N139" s="466"/>
    </row>
    <row r="140" spans="2:14" ht="15.75" hidden="1" customHeight="1" thickBot="1" x14ac:dyDescent="0.25">
      <c r="B140" s="840" t="s">
        <v>84</v>
      </c>
      <c r="C140" s="841"/>
      <c r="D140" s="841"/>
      <c r="E140" s="841"/>
      <c r="F140" s="841"/>
      <c r="G140" s="842"/>
      <c r="H140" s="507"/>
      <c r="I140" s="198"/>
      <c r="J140" s="874"/>
      <c r="K140" s="875"/>
      <c r="L140" s="875"/>
      <c r="M140" s="876"/>
      <c r="N140" s="467"/>
    </row>
    <row r="141" spans="2:14" ht="15.75" hidden="1" customHeight="1" thickBot="1" x14ac:dyDescent="0.25">
      <c r="B141" s="846"/>
      <c r="C141" s="847"/>
      <c r="D141" s="847"/>
      <c r="E141" s="847"/>
      <c r="F141" s="847"/>
      <c r="G141" s="848"/>
      <c r="H141" s="507"/>
      <c r="I141" s="198"/>
      <c r="J141" s="91" t="s">
        <v>135</v>
      </c>
      <c r="K141" s="92" t="s">
        <v>136</v>
      </c>
      <c r="L141" s="92" t="s">
        <v>137</v>
      </c>
      <c r="M141" s="468" t="s">
        <v>525</v>
      </c>
      <c r="N141" s="469"/>
    </row>
    <row r="142" spans="2:14" ht="15.75" hidden="1" customHeight="1" x14ac:dyDescent="0.2">
      <c r="B142" s="199" t="s">
        <v>81</v>
      </c>
      <c r="C142" s="200"/>
      <c r="D142" s="200"/>
      <c r="E142" s="200"/>
      <c r="F142" s="200"/>
      <c r="G142" s="201" t="s">
        <v>82</v>
      </c>
      <c r="H142" s="507"/>
      <c r="I142" s="198"/>
      <c r="J142" s="88">
        <v>0.1</v>
      </c>
      <c r="K142" s="87">
        <v>2.5532300000000001</v>
      </c>
      <c r="L142" s="87">
        <v>-0.61512</v>
      </c>
      <c r="M142" s="470">
        <v>-0.16403000000000001</v>
      </c>
      <c r="N142" s="469"/>
    </row>
    <row r="143" spans="2:14" ht="15" hidden="1" customHeight="1" x14ac:dyDescent="0.2">
      <c r="B143" s="178" t="s">
        <v>91</v>
      </c>
      <c r="C143" s="146"/>
      <c r="D143" s="146"/>
      <c r="E143" s="146"/>
      <c r="F143" s="146"/>
      <c r="G143" s="202">
        <v>1.0999999999999999E-2</v>
      </c>
      <c r="H143" s="507"/>
      <c r="I143" s="198"/>
      <c r="J143" s="88">
        <v>0.3</v>
      </c>
      <c r="K143" s="87">
        <v>2.4653200000000002</v>
      </c>
      <c r="L143" s="87">
        <v>-0.62256999999999996</v>
      </c>
      <c r="M143" s="470">
        <v>-0.11656999999999999</v>
      </c>
      <c r="N143" s="469"/>
    </row>
    <row r="144" spans="2:14" ht="15" hidden="1" customHeight="1" x14ac:dyDescent="0.2">
      <c r="B144" s="178" t="s">
        <v>83</v>
      </c>
      <c r="C144" s="146"/>
      <c r="D144" s="146"/>
      <c r="E144" s="146"/>
      <c r="F144" s="146"/>
      <c r="G144" s="202">
        <v>0.24</v>
      </c>
      <c r="H144" s="507"/>
      <c r="I144" s="198"/>
      <c r="J144" s="88">
        <v>0.35</v>
      </c>
      <c r="K144" s="87">
        <v>2.4189600000000002</v>
      </c>
      <c r="L144" s="87">
        <v>-0.61594000000000004</v>
      </c>
      <c r="M144" s="470">
        <v>-8.8200000000000001E-2</v>
      </c>
      <c r="N144" s="469"/>
    </row>
    <row r="145" spans="2:14" ht="15.75" hidden="1" customHeight="1" thickBot="1" x14ac:dyDescent="0.25">
      <c r="B145" s="203" t="s">
        <v>13</v>
      </c>
      <c r="C145" s="204"/>
      <c r="D145" s="204"/>
      <c r="E145" s="204"/>
      <c r="F145" s="204"/>
      <c r="G145" s="205">
        <v>0.4</v>
      </c>
      <c r="H145" s="507"/>
      <c r="I145" s="198"/>
      <c r="J145" s="88">
        <v>0.4</v>
      </c>
      <c r="K145" s="87">
        <v>2.36409</v>
      </c>
      <c r="L145" s="87">
        <v>-0.59857000000000005</v>
      </c>
      <c r="M145" s="470">
        <v>-5.6210000000000003E-2</v>
      </c>
      <c r="N145" s="471"/>
    </row>
    <row r="146" spans="2:14" ht="15.75" hidden="1" customHeight="1" thickBot="1" x14ac:dyDescent="0.25">
      <c r="B146" s="507"/>
      <c r="C146" s="507"/>
      <c r="D146" s="507"/>
      <c r="E146" s="160"/>
      <c r="F146" s="160"/>
      <c r="G146" s="160"/>
      <c r="H146" s="507"/>
      <c r="I146" s="198"/>
      <c r="J146" s="88">
        <v>0.45</v>
      </c>
      <c r="K146" s="87">
        <v>2.2923800000000001</v>
      </c>
      <c r="L146" s="87">
        <v>-0.57004999999999995</v>
      </c>
      <c r="M146" s="470">
        <v>-2.281E-2</v>
      </c>
      <c r="N146" s="472"/>
    </row>
    <row r="147" spans="2:14" ht="15.75" hidden="1" customHeight="1" thickBot="1" x14ac:dyDescent="0.25">
      <c r="B147" s="840" t="s">
        <v>216</v>
      </c>
      <c r="C147" s="841"/>
      <c r="D147" s="841"/>
      <c r="E147" s="841"/>
      <c r="F147" s="841"/>
      <c r="G147" s="842"/>
      <c r="H147" s="507"/>
      <c r="I147" s="198"/>
      <c r="J147" s="89">
        <v>0.5</v>
      </c>
      <c r="K147" s="90">
        <v>2.20282</v>
      </c>
      <c r="L147" s="90">
        <v>-0.51598999999999995</v>
      </c>
      <c r="M147" s="473">
        <v>-1.259E-2</v>
      </c>
      <c r="N147" s="474"/>
    </row>
    <row r="148" spans="2:14" ht="15.75" hidden="1" customHeight="1" thickBot="1" x14ac:dyDescent="0.25">
      <c r="B148" s="843"/>
      <c r="C148" s="844"/>
      <c r="D148" s="844"/>
      <c r="E148" s="844"/>
      <c r="F148" s="844"/>
      <c r="G148" s="845"/>
      <c r="H148" s="507"/>
      <c r="I148" s="198"/>
      <c r="J148" s="105"/>
      <c r="K148" s="112"/>
      <c r="L148" s="107"/>
      <c r="M148" s="106"/>
      <c r="N148" s="474"/>
    </row>
    <row r="149" spans="2:14" ht="15.75" hidden="1" customHeight="1" thickBot="1" x14ac:dyDescent="0.25">
      <c r="B149" s="846"/>
      <c r="C149" s="847"/>
      <c r="D149" s="847"/>
      <c r="E149" s="847"/>
      <c r="F149" s="847"/>
      <c r="G149" s="848"/>
      <c r="H149" s="507"/>
      <c r="I149" s="877" t="s">
        <v>148</v>
      </c>
      <c r="J149" s="841"/>
      <c r="K149" s="841"/>
      <c r="L149" s="841"/>
      <c r="M149" s="841"/>
      <c r="N149" s="878"/>
    </row>
    <row r="150" spans="2:14" ht="15.75" hidden="1" customHeight="1" x14ac:dyDescent="0.25">
      <c r="B150" s="207" t="s">
        <v>117</v>
      </c>
      <c r="C150" s="512"/>
      <c r="D150" s="512"/>
      <c r="E150" s="512"/>
      <c r="F150" s="512"/>
      <c r="G150" s="208" t="s">
        <v>82</v>
      </c>
      <c r="H150" s="507"/>
      <c r="I150" s="879"/>
      <c r="J150" s="844"/>
      <c r="K150" s="844"/>
      <c r="L150" s="844"/>
      <c r="M150" s="844"/>
      <c r="N150" s="880"/>
    </row>
    <row r="151" spans="2:14" ht="15.75" hidden="1" customHeight="1" thickBot="1" x14ac:dyDescent="0.25">
      <c r="B151" s="509" t="s">
        <v>118</v>
      </c>
      <c r="C151" s="506"/>
      <c r="D151" s="506"/>
      <c r="E151" s="506"/>
      <c r="F151" s="506"/>
      <c r="G151" s="202">
        <v>1.6E-2</v>
      </c>
      <c r="H151" s="507"/>
      <c r="I151" s="881"/>
      <c r="J151" s="847"/>
      <c r="K151" s="847"/>
      <c r="L151" s="847"/>
      <c r="M151" s="847"/>
      <c r="N151" s="882"/>
    </row>
    <row r="152" spans="2:14" ht="18.75" hidden="1" customHeight="1" x14ac:dyDescent="0.25">
      <c r="B152" s="509" t="s">
        <v>119</v>
      </c>
      <c r="C152" s="506"/>
      <c r="D152" s="506"/>
      <c r="E152" s="506"/>
      <c r="F152" s="506"/>
      <c r="G152" s="202">
        <v>1.2E-2</v>
      </c>
      <c r="H152" s="507"/>
      <c r="I152" s="209" t="s">
        <v>147</v>
      </c>
      <c r="J152" s="512"/>
      <c r="K152" s="512"/>
      <c r="L152" s="197"/>
      <c r="M152" s="512"/>
      <c r="N152" s="475" t="s">
        <v>526</v>
      </c>
    </row>
    <row r="153" spans="2:14" ht="15" hidden="1" customHeight="1" x14ac:dyDescent="0.2">
      <c r="B153" s="509" t="s">
        <v>120</v>
      </c>
      <c r="C153" s="506"/>
      <c r="D153" s="506"/>
      <c r="E153" s="506"/>
      <c r="F153" s="506"/>
      <c r="G153" s="202">
        <v>1.4E-2</v>
      </c>
      <c r="H153" s="507"/>
      <c r="I153" s="210">
        <v>0</v>
      </c>
      <c r="J153" s="506"/>
      <c r="K153" s="506"/>
      <c r="L153" s="160" t="s">
        <v>153</v>
      </c>
      <c r="M153" s="506"/>
      <c r="N153" s="476">
        <v>1</v>
      </c>
    </row>
    <row r="154" spans="2:14" ht="15" hidden="1" customHeight="1" x14ac:dyDescent="0.2">
      <c r="B154" s="509" t="s">
        <v>83</v>
      </c>
      <c r="C154" s="506"/>
      <c r="D154" s="506"/>
      <c r="E154" s="506"/>
      <c r="F154" s="506"/>
      <c r="G154" s="202">
        <v>3.5000000000000003E-2</v>
      </c>
      <c r="H154" s="507"/>
      <c r="I154" s="210">
        <v>0.2</v>
      </c>
      <c r="J154" s="506"/>
      <c r="K154" s="506"/>
      <c r="L154" s="159" t="s">
        <v>157</v>
      </c>
      <c r="M154" s="506"/>
      <c r="N154" s="477">
        <v>0.97</v>
      </c>
    </row>
    <row r="155" spans="2:14" ht="15" hidden="1" customHeight="1" x14ac:dyDescent="0.2">
      <c r="B155" s="509" t="s">
        <v>122</v>
      </c>
      <c r="C155" s="506"/>
      <c r="D155" s="506"/>
      <c r="E155" s="506"/>
      <c r="F155" s="506"/>
      <c r="G155" s="202">
        <v>3.3000000000000002E-2</v>
      </c>
      <c r="H155" s="507"/>
      <c r="I155" s="210">
        <v>1</v>
      </c>
      <c r="J155" s="506"/>
      <c r="K155" s="506"/>
      <c r="L155" s="159" t="s">
        <v>156</v>
      </c>
      <c r="M155" s="506"/>
      <c r="N155" s="477">
        <v>0.87</v>
      </c>
    </row>
    <row r="156" spans="2:14" ht="15.75" hidden="1" customHeight="1" thickBot="1" x14ac:dyDescent="0.25">
      <c r="B156" s="211" t="s">
        <v>121</v>
      </c>
      <c r="C156" s="501"/>
      <c r="D156" s="501"/>
      <c r="E156" s="501"/>
      <c r="F156" s="501"/>
      <c r="G156" s="213">
        <v>0.04</v>
      </c>
      <c r="H156" s="507"/>
      <c r="I156" s="210">
        <v>3</v>
      </c>
      <c r="J156" s="506"/>
      <c r="K156" s="506"/>
      <c r="L156" s="159" t="s">
        <v>155</v>
      </c>
      <c r="M156" s="506"/>
      <c r="N156" s="477">
        <v>0.75</v>
      </c>
    </row>
    <row r="157" spans="2:14" ht="15" hidden="1" customHeight="1" x14ac:dyDescent="0.2">
      <c r="B157" s="507"/>
      <c r="C157" s="507"/>
      <c r="D157" s="507"/>
      <c r="E157" s="160"/>
      <c r="F157" s="160"/>
      <c r="G157" s="160"/>
      <c r="H157" s="507"/>
      <c r="I157" s="210">
        <v>5</v>
      </c>
      <c r="J157" s="506"/>
      <c r="K157" s="506"/>
      <c r="L157" s="214" t="s">
        <v>154</v>
      </c>
      <c r="M157" s="506"/>
      <c r="N157" s="477">
        <v>0.72</v>
      </c>
    </row>
    <row r="158" spans="2:14" ht="15.75" hidden="1" customHeight="1" x14ac:dyDescent="0.25">
      <c r="B158" s="215" t="s">
        <v>46</v>
      </c>
      <c r="C158" s="216"/>
      <c r="D158" s="216"/>
      <c r="E158" s="217"/>
      <c r="F158" s="217"/>
      <c r="G158" s="217"/>
      <c r="H158" s="216"/>
      <c r="I158" s="218"/>
      <c r="J158" s="117"/>
      <c r="K158" s="116"/>
      <c r="L158" s="107"/>
      <c r="M158" s="478"/>
      <c r="N158" s="474"/>
    </row>
    <row r="159" spans="2:14" ht="15.75" hidden="1" customHeight="1" thickBot="1" x14ac:dyDescent="0.25">
      <c r="B159" s="219" t="s">
        <v>102</v>
      </c>
      <c r="C159" s="216"/>
      <c r="D159" s="216"/>
      <c r="E159" s="217"/>
      <c r="F159" s="217"/>
      <c r="G159" s="217"/>
      <c r="H159" s="216"/>
      <c r="I159" s="220"/>
      <c r="J159" s="118"/>
      <c r="K159" s="119"/>
      <c r="L159" s="108"/>
      <c r="M159" s="479"/>
      <c r="N159" s="480"/>
    </row>
    <row r="160" spans="2:14" ht="15.75" hidden="1" customHeight="1" thickTop="1" x14ac:dyDescent="0.2">
      <c r="B160" s="219" t="s">
        <v>103</v>
      </c>
      <c r="C160" s="216"/>
      <c r="D160" s="216"/>
      <c r="E160" s="217"/>
      <c r="F160" s="217"/>
      <c r="G160" s="217"/>
      <c r="H160" s="216"/>
      <c r="I160" s="216"/>
      <c r="J160" s="117"/>
      <c r="K160" s="120"/>
      <c r="L160" s="109"/>
    </row>
    <row r="161" spans="2:14" ht="15" hidden="1" customHeight="1" x14ac:dyDescent="0.2">
      <c r="B161" s="216"/>
      <c r="C161" s="216"/>
      <c r="D161" s="216"/>
      <c r="E161" s="217"/>
      <c r="F161" s="217"/>
      <c r="G161" s="217"/>
      <c r="H161" s="216"/>
      <c r="I161" s="117"/>
      <c r="J161" s="107"/>
      <c r="K161" s="106"/>
      <c r="L161" s="110"/>
    </row>
    <row r="162" spans="2:14" ht="15.75" hidden="1" customHeight="1" thickBot="1" x14ac:dyDescent="0.25">
      <c r="B162" s="216"/>
      <c r="C162" s="217"/>
      <c r="D162" s="217"/>
      <c r="E162" s="217"/>
      <c r="F162" s="216"/>
      <c r="G162" s="216"/>
      <c r="H162" s="117"/>
      <c r="I162" s="111"/>
      <c r="J162" s="105"/>
      <c r="K162" s="206"/>
      <c r="L162" s="507"/>
    </row>
    <row r="163" spans="2:14" ht="16.5" hidden="1" customHeight="1" thickBot="1" x14ac:dyDescent="0.3">
      <c r="B163" s="852" t="s">
        <v>206</v>
      </c>
      <c r="C163" s="853"/>
      <c r="D163" s="853"/>
      <c r="E163" s="853"/>
      <c r="F163" s="854"/>
      <c r="G163" s="514"/>
      <c r="H163" s="514"/>
      <c r="I163" s="507"/>
      <c r="J163" s="542"/>
      <c r="K163" s="543" t="s">
        <v>532</v>
      </c>
      <c r="L163" s="544"/>
    </row>
    <row r="164" spans="2:14" ht="15" hidden="1" customHeight="1" x14ac:dyDescent="0.2">
      <c r="B164" s="517"/>
      <c r="C164" s="510"/>
      <c r="D164" s="510"/>
      <c r="E164" s="510"/>
      <c r="F164" s="518"/>
      <c r="G164" s="514"/>
      <c r="H164" s="514"/>
      <c r="I164" s="507"/>
      <c r="J164" s="530"/>
      <c r="K164" s="512"/>
      <c r="L164" s="522"/>
    </row>
    <row r="165" spans="2:14" ht="19.5" hidden="1" customHeight="1" x14ac:dyDescent="0.35">
      <c r="B165" s="509" t="s">
        <v>533</v>
      </c>
      <c r="C165" s="510"/>
      <c r="D165" s="510"/>
      <c r="E165" s="510"/>
      <c r="F165" s="518"/>
      <c r="G165" s="508"/>
      <c r="H165" s="514"/>
      <c r="I165" s="507"/>
      <c r="J165" s="509" t="s">
        <v>534</v>
      </c>
      <c r="K165" s="506"/>
      <c r="L165" s="513"/>
    </row>
    <row r="166" spans="2:14" ht="15" hidden="1" customHeight="1" x14ac:dyDescent="0.2">
      <c r="B166" s="509"/>
      <c r="C166" s="510"/>
      <c r="D166" s="510"/>
      <c r="E166" s="510"/>
      <c r="F166" s="518"/>
      <c r="G166" s="508"/>
      <c r="H166" s="514"/>
      <c r="I166" s="507"/>
      <c r="J166" s="509" t="s">
        <v>535</v>
      </c>
      <c r="K166" s="506"/>
      <c r="L166" s="513"/>
    </row>
    <row r="167" spans="2:14" ht="15" hidden="1" customHeight="1" x14ac:dyDescent="0.2">
      <c r="B167" s="524" t="s">
        <v>536</v>
      </c>
      <c r="C167" s="549">
        <f>SUM(H25:K26)</f>
        <v>0</v>
      </c>
      <c r="D167" s="510"/>
      <c r="E167" s="524" t="s">
        <v>537</v>
      </c>
      <c r="F167" s="533">
        <f>SUM(H17:K24)</f>
        <v>0</v>
      </c>
      <c r="G167" s="547" t="s">
        <v>538</v>
      </c>
      <c r="H167" s="514"/>
      <c r="I167" s="507"/>
      <c r="J167" s="509" t="s">
        <v>539</v>
      </c>
      <c r="K167" s="506"/>
      <c r="L167" s="513"/>
    </row>
    <row r="168" spans="2:14" ht="19.5" hidden="1" customHeight="1" x14ac:dyDescent="0.35">
      <c r="B168" s="519" t="s">
        <v>540</v>
      </c>
      <c r="C168" s="515">
        <f>(1000/98)-10</f>
        <v>0.20408163265306101</v>
      </c>
      <c r="D168" s="510"/>
      <c r="E168" s="505" t="s">
        <v>380</v>
      </c>
      <c r="F168" s="520" t="e">
        <f>IF(I109&gt;64,(1000/I109)-10,0)</f>
        <v>#DIV/0!</v>
      </c>
      <c r="G168" s="514"/>
      <c r="H168" s="514"/>
      <c r="I168" s="507"/>
      <c r="J168" s="509" t="s">
        <v>541</v>
      </c>
      <c r="K168" s="506"/>
      <c r="L168" s="513"/>
    </row>
    <row r="169" spans="2:14" ht="20.25" hidden="1" customHeight="1" thickBot="1" x14ac:dyDescent="0.25">
      <c r="B169" s="519" t="s">
        <v>542</v>
      </c>
      <c r="C169" s="516">
        <f>(1-(0.2*$C$168))^2/(1+(0.8*$C$168))</f>
        <v>0.79090583601861819</v>
      </c>
      <c r="D169" s="510"/>
      <c r="E169" s="505" t="s">
        <v>381</v>
      </c>
      <c r="F169" s="548" t="e">
        <f>IF(I109&gt;64,(1-(0.2*F168))^2/(1+(0.8*F168)),0)</f>
        <v>#DIV/0!</v>
      </c>
      <c r="G169" s="514"/>
      <c r="H169" s="514"/>
      <c r="I169" s="523"/>
      <c r="J169" s="538"/>
      <c r="K169" s="511" t="s">
        <v>543</v>
      </c>
      <c r="L169" s="539" t="e">
        <f>(SUM(H25:K26))/H9</f>
        <v>#DIV/0!</v>
      </c>
      <c r="M169" s="507" t="s">
        <v>544</v>
      </c>
    </row>
    <row r="170" spans="2:14" s="497" customFormat="1" ht="24" hidden="1" customHeight="1" thickBot="1" x14ac:dyDescent="0.4">
      <c r="B170" s="524" t="s">
        <v>545</v>
      </c>
      <c r="C170" s="545">
        <f>(C169/12)*(C167*43560)</f>
        <v>0</v>
      </c>
      <c r="D170" s="511"/>
      <c r="E170" s="511" t="s">
        <v>545</v>
      </c>
      <c r="F170" s="546" t="e">
        <f>(F169/12)*(F167*43560)</f>
        <v>#DIV/0!</v>
      </c>
      <c r="G170" s="530" t="s">
        <v>546</v>
      </c>
      <c r="H170" s="521"/>
      <c r="I170" s="536"/>
      <c r="J170" s="540"/>
      <c r="K170" s="511" t="s">
        <v>547</v>
      </c>
      <c r="L170" s="539" t="e">
        <f>0.05+(0.9*L169)</f>
        <v>#DIV/0!</v>
      </c>
      <c r="M170" s="523"/>
      <c r="N170" s="523"/>
    </row>
    <row r="171" spans="2:14" s="497" customFormat="1" ht="24" hidden="1" customHeight="1" thickBot="1" x14ac:dyDescent="0.4">
      <c r="B171" s="524" t="s">
        <v>382</v>
      </c>
      <c r="C171" s="525" t="e">
        <f>(C169*C167+F169*F167)/H10</f>
        <v>#DIV/0!</v>
      </c>
      <c r="D171" s="526"/>
      <c r="E171" s="510"/>
      <c r="F171" s="518"/>
      <c r="G171" s="552" t="e">
        <f>C170+F170</f>
        <v>#DIV/0!</v>
      </c>
      <c r="H171" s="532"/>
      <c r="I171" s="506" t="s">
        <v>548</v>
      </c>
      <c r="J171" s="540"/>
      <c r="K171" s="534" t="s">
        <v>549</v>
      </c>
      <c r="L171" s="535" t="e">
        <f>3630*1*L170*H9</f>
        <v>#DIV/0!</v>
      </c>
      <c r="M171" s="523"/>
      <c r="N171" s="523"/>
    </row>
    <row r="172" spans="2:14" s="497" customFormat="1" ht="15.75" hidden="1" customHeight="1" thickBot="1" x14ac:dyDescent="0.25">
      <c r="B172" s="527"/>
      <c r="C172" s="528"/>
      <c r="D172" s="528"/>
      <c r="E172" s="528"/>
      <c r="F172" s="529"/>
      <c r="G172" s="527"/>
      <c r="H172" s="528"/>
      <c r="I172" s="537"/>
      <c r="J172" s="541"/>
      <c r="K172" s="537"/>
      <c r="L172" s="531"/>
      <c r="M172" s="523"/>
      <c r="N172" s="523"/>
    </row>
    <row r="173" spans="2:14" s="497" customFormat="1" ht="15" hidden="1" customHeight="1" x14ac:dyDescent="0.2">
      <c r="B173" s="868" t="s">
        <v>161</v>
      </c>
      <c r="C173" s="868"/>
      <c r="D173" s="868"/>
      <c r="E173" s="868"/>
      <c r="F173" s="523"/>
      <c r="G173" s="523"/>
      <c r="H173" s="523"/>
      <c r="I173" s="523"/>
      <c r="J173" s="523"/>
      <c r="K173" s="523"/>
      <c r="L173" s="523"/>
      <c r="M173" s="523"/>
      <c r="N173" s="523"/>
    </row>
    <row r="174" spans="2:14" s="497" customFormat="1" ht="15.75" hidden="1" customHeight="1" thickBot="1" x14ac:dyDescent="0.25">
      <c r="B174" s="868"/>
      <c r="C174" s="868"/>
      <c r="D174" s="868"/>
      <c r="E174" s="868"/>
      <c r="F174" s="523"/>
      <c r="G174" s="523"/>
      <c r="H174" s="523"/>
      <c r="I174" s="507"/>
      <c r="J174" s="523"/>
      <c r="K174" s="523"/>
      <c r="L174" s="523"/>
      <c r="M174" s="523"/>
      <c r="N174" s="523"/>
    </row>
    <row r="175" spans="2:14" s="497" customFormat="1" ht="16.5" hidden="1" customHeight="1" thickBot="1" x14ac:dyDescent="0.3">
      <c r="B175" s="351"/>
      <c r="C175" s="352"/>
      <c r="D175" s="353"/>
      <c r="E175" s="351"/>
      <c r="F175" s="523"/>
      <c r="G175" s="523"/>
      <c r="H175" s="523"/>
      <c r="I175" s="507" t="s">
        <v>550</v>
      </c>
      <c r="J175" s="523"/>
      <c r="K175" s="551" t="e">
        <f>IF(G171&gt;L171,G171,L171)</f>
        <v>#DIV/0!</v>
      </c>
      <c r="L175" s="507" t="s">
        <v>551</v>
      </c>
      <c r="M175" s="523"/>
      <c r="N175" s="523"/>
    </row>
    <row r="176" spans="2:14" s="497" customFormat="1" ht="19.5" hidden="1" customHeight="1" x14ac:dyDescent="0.2">
      <c r="B176" s="833" t="s">
        <v>227</v>
      </c>
      <c r="C176" s="833"/>
      <c r="D176" s="833"/>
      <c r="E176" s="833"/>
      <c r="F176" s="507"/>
      <c r="G176" s="523"/>
      <c r="H176" s="349"/>
      <c r="I176" s="350"/>
      <c r="J176" s="523"/>
      <c r="K176" s="523"/>
      <c r="L176" s="523"/>
      <c r="M176" s="523"/>
      <c r="N176" s="523"/>
    </row>
    <row r="177" spans="2:14" s="497" customFormat="1" ht="15" hidden="1" customHeight="1" x14ac:dyDescent="0.2">
      <c r="B177" s="834" t="s">
        <v>33</v>
      </c>
      <c r="C177" s="834"/>
      <c r="D177" s="834"/>
      <c r="E177" s="834"/>
      <c r="F177" s="523"/>
      <c r="G177" s="523"/>
      <c r="H177" s="523"/>
      <c r="I177" s="523"/>
      <c r="J177" s="523"/>
      <c r="K177" s="523"/>
      <c r="L177" s="523"/>
      <c r="M177" s="523"/>
      <c r="N177" s="523"/>
    </row>
    <row r="178" spans="2:14" s="497" customFormat="1" ht="19.5" hidden="1" customHeight="1" x14ac:dyDescent="0.2">
      <c r="B178" s="833" t="s">
        <v>228</v>
      </c>
      <c r="C178" s="833"/>
      <c r="D178" s="833"/>
      <c r="E178" s="833"/>
      <c r="F178" s="523"/>
      <c r="G178" s="523"/>
      <c r="H178" s="523"/>
      <c r="I178" s="523"/>
      <c r="J178" s="523"/>
      <c r="K178" s="523"/>
      <c r="L178" s="523"/>
      <c r="M178" s="523"/>
      <c r="N178" s="523"/>
    </row>
    <row r="179" spans="2:14" s="497" customFormat="1" ht="19.5" hidden="1" customHeight="1" x14ac:dyDescent="0.2">
      <c r="B179" s="833" t="s">
        <v>224</v>
      </c>
      <c r="C179" s="833"/>
      <c r="D179" s="833"/>
      <c r="E179" s="833"/>
      <c r="F179" s="523"/>
      <c r="G179" s="523"/>
      <c r="H179" s="523"/>
      <c r="I179" s="523"/>
      <c r="J179" s="523"/>
      <c r="K179" s="523"/>
      <c r="L179" s="523"/>
      <c r="M179" s="523"/>
      <c r="N179" s="523"/>
    </row>
    <row r="180" spans="2:14" s="497" customFormat="1" ht="19.5" hidden="1" customHeight="1" x14ac:dyDescent="0.2">
      <c r="B180" s="833" t="s">
        <v>162</v>
      </c>
      <c r="C180" s="833"/>
      <c r="D180" s="833"/>
      <c r="E180" s="833"/>
      <c r="F180" s="523"/>
      <c r="G180" s="523"/>
      <c r="H180" s="523"/>
      <c r="I180" s="523"/>
      <c r="J180" s="523"/>
      <c r="K180" s="523"/>
      <c r="L180" s="523"/>
      <c r="M180" s="523"/>
      <c r="N180" s="523"/>
    </row>
    <row r="181" spans="2:14" s="497" customFormat="1" ht="15" hidden="1" customHeight="1" x14ac:dyDescent="0.2">
      <c r="B181" s="835" t="s">
        <v>163</v>
      </c>
      <c r="C181" s="835"/>
      <c r="D181" s="835"/>
      <c r="E181" s="835"/>
      <c r="F181" s="523"/>
      <c r="G181" s="523"/>
      <c r="H181" s="523"/>
      <c r="I181" s="523"/>
      <c r="J181" s="523"/>
      <c r="K181" s="523"/>
      <c r="L181" s="523"/>
      <c r="M181" s="523"/>
      <c r="N181" s="523"/>
    </row>
    <row r="182" spans="2:14" s="497" customFormat="1" ht="15" hidden="1" customHeight="1" x14ac:dyDescent="0.2">
      <c r="B182" s="523"/>
      <c r="C182" s="523"/>
      <c r="D182" s="523"/>
      <c r="E182" s="523"/>
      <c r="F182" s="523"/>
      <c r="G182" s="523"/>
      <c r="H182" s="523"/>
      <c r="I182" s="523"/>
      <c r="J182" s="523"/>
      <c r="K182" s="523"/>
      <c r="L182" s="523"/>
      <c r="M182" s="523"/>
      <c r="N182" s="523"/>
    </row>
    <row r="183" spans="2:14" s="497" customFormat="1" ht="19.5" hidden="1" customHeight="1" x14ac:dyDescent="0.2">
      <c r="B183" s="354" t="s">
        <v>225</v>
      </c>
      <c r="C183" s="355" t="e">
        <f>$H$74</f>
        <v>#DIV/0!</v>
      </c>
      <c r="D183" s="356"/>
      <c r="E183" s="356"/>
      <c r="F183" s="523"/>
      <c r="G183" s="523"/>
      <c r="H183" s="523"/>
      <c r="I183" s="523"/>
      <c r="J183" s="523"/>
      <c r="K183" s="523"/>
      <c r="L183" s="523"/>
      <c r="M183" s="523"/>
      <c r="N183" s="523"/>
    </row>
    <row r="184" spans="2:14" s="139" customFormat="1" ht="19.5" hidden="1" customHeight="1" x14ac:dyDescent="0.2">
      <c r="B184" s="354" t="s">
        <v>164</v>
      </c>
      <c r="C184" s="160" t="e">
        <f>ROUND((C183-(C186/100)*98)/(1-(C186/100)),2)</f>
        <v>#DIV/0!</v>
      </c>
      <c r="D184" s="356"/>
      <c r="E184" s="356"/>
      <c r="F184" s="507"/>
      <c r="G184" s="507"/>
      <c r="H184" s="507"/>
      <c r="I184" s="507"/>
      <c r="J184" s="507"/>
      <c r="K184" s="507"/>
      <c r="L184" s="507"/>
      <c r="M184" s="507"/>
      <c r="N184" s="507"/>
    </row>
    <row r="185" spans="2:14" s="139" customFormat="1" ht="19.5" hidden="1" customHeight="1" x14ac:dyDescent="0.2">
      <c r="B185" s="354" t="s">
        <v>165</v>
      </c>
      <c r="C185" s="357" t="e">
        <f>SUM(H25:K26)/SUM(H17:K26)</f>
        <v>#DIV/0!</v>
      </c>
      <c r="D185" s="358">
        <v>0.3</v>
      </c>
      <c r="E185" s="359"/>
      <c r="F185" s="507"/>
      <c r="G185" s="507"/>
      <c r="H185" s="507"/>
      <c r="I185" s="507"/>
      <c r="J185" s="507"/>
      <c r="K185" s="507"/>
      <c r="L185" s="507"/>
      <c r="M185" s="507"/>
      <c r="N185" s="507"/>
    </row>
    <row r="186" spans="2:14" s="139" customFormat="1" ht="34.5" hidden="1" customHeight="1" x14ac:dyDescent="0.2">
      <c r="B186" s="360" t="s">
        <v>317</v>
      </c>
      <c r="C186" s="357" t="e">
        <f>IF(C185&gt;D185,D185,C185)</f>
        <v>#DIV/0!</v>
      </c>
      <c r="D186" s="359"/>
      <c r="E186" s="359"/>
      <c r="F186" s="507"/>
      <c r="G186" s="507"/>
      <c r="H186" s="507"/>
      <c r="I186" s="507"/>
      <c r="J186" s="507"/>
      <c r="K186" s="507"/>
      <c r="L186" s="507"/>
      <c r="M186" s="507"/>
      <c r="N186" s="507"/>
    </row>
    <row r="187" spans="2:14" s="139" customFormat="1" ht="15" hidden="1" customHeight="1" x14ac:dyDescent="0.2">
      <c r="B187" s="354" t="s">
        <v>166</v>
      </c>
      <c r="C187" s="361" t="str">
        <f>IF(D76&gt;0,(D76/(SUM($H$25:$K$26))),"-")</f>
        <v>-</v>
      </c>
      <c r="D187" s="362"/>
      <c r="E187" s="362"/>
      <c r="F187" s="362"/>
      <c r="G187" s="362"/>
      <c r="H187" s="362"/>
      <c r="I187" s="362"/>
      <c r="J187" s="362"/>
      <c r="K187" s="506"/>
      <c r="L187" s="507"/>
      <c r="M187" s="507"/>
      <c r="N187" s="507"/>
    </row>
    <row r="188" spans="2:14" s="139" customFormat="1" ht="19.5" hidden="1" customHeight="1" x14ac:dyDescent="0.2">
      <c r="B188" s="354" t="s">
        <v>229</v>
      </c>
      <c r="C188" s="160" t="e">
        <f>ROUND(C184+((C186/100)*(98-C184)*(1-(0.5*C187))),2)</f>
        <v>#DIV/0!</v>
      </c>
      <c r="D188" s="507"/>
      <c r="E188" s="507"/>
      <c r="F188" s="507"/>
      <c r="G188" s="507"/>
      <c r="H188" s="507"/>
      <c r="I188" s="507"/>
      <c r="J188" s="507"/>
      <c r="K188" s="507"/>
      <c r="L188" s="507"/>
      <c r="M188" s="507"/>
      <c r="N188" s="507"/>
    </row>
    <row r="189" spans="2:14" s="497" customFormat="1" ht="15" hidden="1" customHeight="1" x14ac:dyDescent="0.2">
      <c r="B189" s="523"/>
      <c r="C189" s="523"/>
      <c r="D189" s="523"/>
      <c r="E189" s="523"/>
      <c r="F189" s="523"/>
      <c r="G189" s="523"/>
      <c r="H189" s="523"/>
      <c r="I189" s="523"/>
      <c r="J189" s="523"/>
      <c r="K189" s="523"/>
      <c r="L189" s="523"/>
      <c r="M189" s="523"/>
      <c r="N189" s="523"/>
    </row>
    <row r="190" spans="2:14" s="497" customFormat="1" ht="15" hidden="1" customHeight="1" x14ac:dyDescent="0.2">
      <c r="B190" s="523"/>
      <c r="C190" s="523"/>
      <c r="D190" s="523"/>
      <c r="E190" s="523"/>
      <c r="F190" s="523"/>
      <c r="G190" s="523"/>
      <c r="H190" s="523"/>
      <c r="I190" s="523"/>
      <c r="J190" s="523"/>
      <c r="K190" s="523"/>
      <c r="L190" s="523"/>
      <c r="M190" s="523"/>
      <c r="N190" s="523"/>
    </row>
    <row r="191" spans="2:14" s="497" customFormat="1" ht="30" hidden="1" customHeight="1" x14ac:dyDescent="0.2">
      <c r="B191" s="413" t="s">
        <v>402</v>
      </c>
      <c r="C191" s="361">
        <f>SUM($H$26:$K$26)</f>
        <v>0</v>
      </c>
      <c r="D191" s="523"/>
      <c r="E191" s="362"/>
      <c r="F191" s="362"/>
      <c r="G191" s="362"/>
      <c r="H191" s="362"/>
      <c r="I191" s="362"/>
      <c r="J191" s="362"/>
      <c r="K191" s="362"/>
      <c r="L191" s="523"/>
      <c r="M191" s="523"/>
      <c r="N191" s="523"/>
    </row>
    <row r="192" spans="2:14" s="497" customFormat="1" ht="15" hidden="1" customHeight="1" x14ac:dyDescent="0.2">
      <c r="B192" s="523"/>
      <c r="C192" s="523"/>
      <c r="D192" s="523"/>
      <c r="E192" s="523"/>
      <c r="F192" s="523"/>
      <c r="G192" s="523"/>
      <c r="H192" s="523"/>
      <c r="I192" s="523"/>
      <c r="J192" s="523"/>
      <c r="K192" s="523"/>
      <c r="L192" s="523"/>
      <c r="M192" s="523"/>
      <c r="N192" s="523"/>
    </row>
    <row r="193" spans="2:14" s="497" customFormat="1" ht="15" hidden="1" customHeight="1" x14ac:dyDescent="0.2">
      <c r="B193" s="523"/>
      <c r="C193" s="523"/>
      <c r="D193" s="523"/>
      <c r="E193" s="523"/>
      <c r="F193" s="523"/>
      <c r="G193" s="523"/>
      <c r="H193" s="523"/>
      <c r="I193" s="523"/>
      <c r="J193" s="523"/>
      <c r="K193" s="523"/>
      <c r="L193" s="523"/>
      <c r="M193" s="523"/>
      <c r="N193" s="523"/>
    </row>
    <row r="194" spans="2:14" s="497" customFormat="1" ht="15" hidden="1" customHeight="1" x14ac:dyDescent="0.2">
      <c r="B194" s="523"/>
      <c r="C194" s="523"/>
      <c r="D194" s="523"/>
      <c r="E194" s="523"/>
      <c r="F194" s="523"/>
      <c r="G194" s="523"/>
      <c r="H194" s="523"/>
      <c r="I194" s="523"/>
      <c r="J194" s="523"/>
      <c r="K194" s="523"/>
      <c r="L194" s="523"/>
      <c r="M194" s="523"/>
      <c r="N194" s="523"/>
    </row>
    <row r="195" spans="2:14" s="497" customFormat="1" ht="15.75" thickTop="1" x14ac:dyDescent="0.2">
      <c r="B195" s="737" t="s">
        <v>435</v>
      </c>
      <c r="C195" s="737"/>
      <c r="D195" s="737"/>
      <c r="E195" s="737"/>
      <c r="F195" s="737"/>
      <c r="G195" s="737"/>
      <c r="H195" s="737"/>
      <c r="I195" s="737"/>
      <c r="J195" s="737"/>
      <c r="K195" s="737"/>
      <c r="L195" s="507"/>
      <c r="M195" s="523"/>
      <c r="N195" s="523"/>
    </row>
    <row r="196" spans="2:14" x14ac:dyDescent="0.2">
      <c r="B196" s="737"/>
      <c r="C196" s="737"/>
      <c r="D196" s="737"/>
      <c r="E196" s="737"/>
      <c r="F196" s="737"/>
      <c r="G196" s="737"/>
      <c r="H196" s="737"/>
      <c r="I196" s="737"/>
      <c r="J196" s="737"/>
      <c r="K196" s="737"/>
      <c r="L196" s="507"/>
    </row>
    <row r="197" spans="2:14" ht="15.75" x14ac:dyDescent="0.2">
      <c r="B197" s="738" t="s">
        <v>436</v>
      </c>
      <c r="C197" s="738"/>
      <c r="D197" s="738"/>
      <c r="E197" s="738"/>
      <c r="F197" s="738"/>
      <c r="G197" s="738"/>
      <c r="H197" s="738"/>
      <c r="I197" s="738"/>
      <c r="J197" s="738"/>
      <c r="K197" s="738"/>
      <c r="L197" s="507"/>
    </row>
    <row r="198" spans="2:14" x14ac:dyDescent="0.2">
      <c r="B198" s="737" t="s">
        <v>437</v>
      </c>
      <c r="C198" s="737"/>
      <c r="D198" s="737"/>
      <c r="E198" s="737"/>
      <c r="F198" s="737"/>
      <c r="G198" s="737"/>
      <c r="H198" s="737"/>
      <c r="I198" s="737"/>
      <c r="J198" s="737"/>
      <c r="K198" s="737"/>
      <c r="L198" s="507"/>
    </row>
    <row r="199" spans="2:14" x14ac:dyDescent="0.2">
      <c r="B199" s="737"/>
      <c r="C199" s="737"/>
      <c r="D199" s="737"/>
      <c r="E199" s="737"/>
      <c r="F199" s="737"/>
      <c r="G199" s="737"/>
      <c r="H199" s="737"/>
      <c r="I199" s="737"/>
      <c r="J199" s="737"/>
      <c r="K199" s="737"/>
    </row>
    <row r="200" spans="2:14" x14ac:dyDescent="0.2">
      <c r="B200" s="507"/>
      <c r="C200" s="507"/>
      <c r="D200" s="507"/>
      <c r="E200" s="160"/>
      <c r="F200" s="160"/>
      <c r="G200" s="160"/>
      <c r="H200" s="507"/>
      <c r="I200" s="507"/>
      <c r="J200" s="507"/>
      <c r="K200" s="507"/>
    </row>
    <row r="201" spans="2:14" x14ac:dyDescent="0.2">
      <c r="B201" s="507"/>
      <c r="C201" s="507"/>
      <c r="D201" s="507"/>
      <c r="E201" s="160"/>
      <c r="F201" s="160"/>
      <c r="G201" s="160"/>
      <c r="H201" s="507"/>
      <c r="I201" s="507"/>
      <c r="J201" s="507"/>
      <c r="K201" s="507"/>
    </row>
    <row r="202" spans="2:14" x14ac:dyDescent="0.2">
      <c r="B202" s="507"/>
      <c r="C202" s="507"/>
      <c r="D202" s="507"/>
      <c r="E202" s="160"/>
      <c r="F202" s="160"/>
      <c r="G202" s="160"/>
      <c r="H202" s="507"/>
      <c r="I202" s="507"/>
      <c r="J202" s="507"/>
      <c r="K202" s="507"/>
    </row>
    <row r="203" spans="2:14" x14ac:dyDescent="0.2">
      <c r="B203" s="507"/>
      <c r="C203" s="507"/>
      <c r="D203" s="507"/>
      <c r="E203" s="160"/>
      <c r="F203" s="160"/>
      <c r="G203" s="160"/>
      <c r="H203" s="507"/>
      <c r="I203" s="507"/>
      <c r="J203" s="507"/>
      <c r="K203" s="507"/>
    </row>
    <row r="204" spans="2:14" x14ac:dyDescent="0.2">
      <c r="B204" s="507"/>
      <c r="C204" s="507"/>
      <c r="D204" s="507"/>
      <c r="E204" s="160"/>
      <c r="F204" s="160"/>
      <c r="G204" s="160"/>
      <c r="H204" s="507"/>
      <c r="I204" s="507"/>
      <c r="J204" s="507"/>
      <c r="K204" s="507"/>
    </row>
    <row r="205" spans="2:14" x14ac:dyDescent="0.2">
      <c r="B205" s="507"/>
      <c r="C205" s="507"/>
      <c r="D205" s="507"/>
      <c r="E205" s="160"/>
      <c r="F205" s="160"/>
      <c r="G205" s="160"/>
      <c r="H205" s="507"/>
      <c r="I205" s="507"/>
      <c r="J205" s="507"/>
      <c r="K205" s="507"/>
    </row>
    <row r="206" spans="2:14" x14ac:dyDescent="0.2">
      <c r="B206" s="507"/>
      <c r="C206" s="507"/>
      <c r="D206" s="507"/>
      <c r="E206" s="160"/>
      <c r="F206" s="160"/>
      <c r="G206" s="160"/>
      <c r="H206" s="507"/>
      <c r="I206" s="507"/>
      <c r="J206" s="507"/>
      <c r="K206" s="507"/>
    </row>
    <row r="207" spans="2:14" x14ac:dyDescent="0.2">
      <c r="B207" s="507"/>
      <c r="C207" s="507"/>
      <c r="D207" s="507"/>
      <c r="E207" s="160"/>
      <c r="F207" s="160"/>
      <c r="G207" s="160"/>
      <c r="H207" s="507"/>
      <c r="I207" s="507"/>
      <c r="J207" s="507"/>
      <c r="K207" s="507"/>
    </row>
    <row r="208" spans="2:14" x14ac:dyDescent="0.2">
      <c r="B208" s="507"/>
      <c r="C208" s="507"/>
      <c r="D208" s="507"/>
      <c r="E208" s="160"/>
      <c r="F208" s="160"/>
      <c r="G208" s="160"/>
      <c r="H208" s="507"/>
      <c r="I208" s="507"/>
      <c r="J208" s="507"/>
      <c r="K208" s="507"/>
    </row>
    <row r="209" spans="2:12" x14ac:dyDescent="0.2">
      <c r="B209" s="507"/>
      <c r="C209" s="507"/>
      <c r="D209" s="507"/>
      <c r="E209" s="160"/>
      <c r="F209" s="160"/>
      <c r="G209" s="160"/>
      <c r="H209" s="507"/>
      <c r="I209" s="507"/>
      <c r="J209" s="507"/>
      <c r="K209" s="507"/>
    </row>
    <row r="210" spans="2:12" s="507" customFormat="1" x14ac:dyDescent="0.2">
      <c r="E210" s="160"/>
      <c r="F210" s="160"/>
      <c r="G210" s="160"/>
      <c r="L210" s="160"/>
    </row>
    <row r="211" spans="2:12" s="507" customFormat="1" x14ac:dyDescent="0.2">
      <c r="E211" s="160"/>
      <c r="F211" s="160"/>
      <c r="G211" s="160"/>
      <c r="L211" s="160"/>
    </row>
    <row r="212" spans="2:12" s="507" customFormat="1" x14ac:dyDescent="0.2">
      <c r="E212" s="160"/>
      <c r="F212" s="160"/>
      <c r="G212" s="160"/>
      <c r="L212" s="160"/>
    </row>
    <row r="213" spans="2:12" s="507" customFormat="1" x14ac:dyDescent="0.2">
      <c r="E213" s="160"/>
      <c r="F213" s="160"/>
      <c r="G213" s="160"/>
      <c r="L213" s="160"/>
    </row>
    <row r="214" spans="2:12" s="507" customFormat="1" x14ac:dyDescent="0.2">
      <c r="E214" s="160"/>
      <c r="F214" s="160"/>
      <c r="G214" s="160"/>
      <c r="L214" s="160"/>
    </row>
    <row r="215" spans="2:12" s="507" customFormat="1" x14ac:dyDescent="0.2">
      <c r="E215" s="160"/>
      <c r="F215" s="160"/>
      <c r="G215" s="160"/>
      <c r="L215" s="160"/>
    </row>
    <row r="216" spans="2:12" s="507" customFormat="1" x14ac:dyDescent="0.2">
      <c r="E216" s="160"/>
      <c r="F216" s="160"/>
      <c r="G216" s="160"/>
      <c r="L216" s="160"/>
    </row>
    <row r="217" spans="2:12" s="507" customFormat="1" x14ac:dyDescent="0.2">
      <c r="E217" s="160"/>
      <c r="F217" s="160"/>
      <c r="G217" s="160"/>
      <c r="L217" s="160"/>
    </row>
    <row r="218" spans="2:12" s="507" customFormat="1" x14ac:dyDescent="0.2">
      <c r="E218" s="160"/>
      <c r="F218" s="160"/>
      <c r="G218" s="160"/>
      <c r="L218" s="160"/>
    </row>
    <row r="219" spans="2:12" s="507" customFormat="1" x14ac:dyDescent="0.2">
      <c r="E219" s="160"/>
      <c r="F219" s="160"/>
      <c r="G219" s="160"/>
      <c r="L219" s="160"/>
    </row>
    <row r="220" spans="2:12" s="507" customFormat="1" x14ac:dyDescent="0.2">
      <c r="E220" s="160"/>
      <c r="F220" s="160"/>
      <c r="G220" s="160"/>
      <c r="L220" s="160"/>
    </row>
    <row r="221" spans="2:12" s="507" customFormat="1" x14ac:dyDescent="0.2">
      <c r="E221" s="160"/>
      <c r="F221" s="160"/>
      <c r="G221" s="160"/>
      <c r="L221" s="160"/>
    </row>
    <row r="222" spans="2:12" s="507" customFormat="1" x14ac:dyDescent="0.2">
      <c r="E222" s="160"/>
      <c r="F222" s="160"/>
      <c r="G222" s="160"/>
      <c r="L222" s="160"/>
    </row>
    <row r="223" spans="2:12" s="507" customFormat="1" x14ac:dyDescent="0.2">
      <c r="E223" s="160"/>
      <c r="F223" s="160"/>
      <c r="G223" s="160"/>
      <c r="L223" s="160"/>
    </row>
    <row r="224" spans="2:12" s="507" customFormat="1" x14ac:dyDescent="0.2">
      <c r="E224" s="160"/>
      <c r="F224" s="160"/>
      <c r="G224" s="160"/>
      <c r="L224" s="160"/>
    </row>
    <row r="225" spans="5:12" s="507" customFormat="1" x14ac:dyDescent="0.2">
      <c r="E225" s="160"/>
      <c r="F225" s="160"/>
      <c r="G225" s="160"/>
      <c r="L225" s="160"/>
    </row>
    <row r="226" spans="5:12" s="507" customFormat="1" x14ac:dyDescent="0.2">
      <c r="E226" s="160"/>
      <c r="F226" s="160"/>
      <c r="G226" s="160"/>
      <c r="L226" s="160"/>
    </row>
    <row r="227" spans="5:12" s="507" customFormat="1" x14ac:dyDescent="0.2">
      <c r="E227" s="160"/>
      <c r="F227" s="160"/>
      <c r="G227" s="160"/>
      <c r="L227" s="160"/>
    </row>
    <row r="228" spans="5:12" s="507" customFormat="1" x14ac:dyDescent="0.2">
      <c r="E228" s="160"/>
      <c r="F228" s="160"/>
      <c r="G228" s="160"/>
      <c r="L228" s="160"/>
    </row>
    <row r="229" spans="5:12" s="507" customFormat="1" x14ac:dyDescent="0.2">
      <c r="E229" s="160"/>
      <c r="F229" s="160"/>
      <c r="G229" s="160"/>
      <c r="L229" s="160"/>
    </row>
    <row r="230" spans="5:12" s="507" customFormat="1" x14ac:dyDescent="0.2">
      <c r="E230" s="160"/>
      <c r="F230" s="160"/>
      <c r="G230" s="160"/>
      <c r="L230" s="160"/>
    </row>
    <row r="231" spans="5:12" s="507" customFormat="1" x14ac:dyDescent="0.2">
      <c r="E231" s="160"/>
      <c r="F231" s="160"/>
      <c r="G231" s="160"/>
      <c r="L231" s="160"/>
    </row>
    <row r="232" spans="5:12" s="507" customFormat="1" x14ac:dyDescent="0.2">
      <c r="E232" s="160"/>
      <c r="F232" s="160"/>
      <c r="G232" s="160"/>
      <c r="L232" s="160"/>
    </row>
    <row r="233" spans="5:12" s="507" customFormat="1" x14ac:dyDescent="0.2">
      <c r="E233" s="160"/>
      <c r="F233" s="160"/>
      <c r="G233" s="160"/>
      <c r="L233" s="160"/>
    </row>
    <row r="234" spans="5:12" s="507" customFormat="1" x14ac:dyDescent="0.2">
      <c r="E234" s="160"/>
      <c r="F234" s="160"/>
      <c r="G234" s="160"/>
      <c r="L234" s="160"/>
    </row>
    <row r="235" spans="5:12" s="507" customFormat="1" x14ac:dyDescent="0.2">
      <c r="E235" s="160"/>
      <c r="F235" s="160"/>
      <c r="G235" s="160"/>
      <c r="L235" s="160"/>
    </row>
    <row r="236" spans="5:12" s="507" customFormat="1" x14ac:dyDescent="0.2">
      <c r="E236" s="160"/>
      <c r="F236" s="160"/>
      <c r="G236" s="160"/>
      <c r="L236" s="160"/>
    </row>
    <row r="237" spans="5:12" s="507" customFormat="1" x14ac:dyDescent="0.2">
      <c r="E237" s="160"/>
      <c r="F237" s="160"/>
      <c r="G237" s="160"/>
      <c r="L237" s="160"/>
    </row>
    <row r="238" spans="5:12" s="507" customFormat="1" x14ac:dyDescent="0.2">
      <c r="E238" s="160"/>
      <c r="F238" s="160"/>
      <c r="G238" s="160"/>
      <c r="L238" s="160"/>
    </row>
    <row r="239" spans="5:12" s="507" customFormat="1" x14ac:dyDescent="0.2">
      <c r="E239" s="160"/>
      <c r="F239" s="160"/>
      <c r="G239" s="160"/>
      <c r="L239" s="160"/>
    </row>
    <row r="240" spans="5:12" s="507" customFormat="1" x14ac:dyDescent="0.2">
      <c r="E240" s="160"/>
      <c r="F240" s="160"/>
      <c r="G240" s="160"/>
      <c r="L240" s="160"/>
    </row>
    <row r="241" spans="5:12" s="507" customFormat="1" x14ac:dyDescent="0.2">
      <c r="E241" s="160"/>
      <c r="F241" s="160"/>
      <c r="G241" s="160"/>
      <c r="L241" s="160"/>
    </row>
    <row r="242" spans="5:12" s="507" customFormat="1" x14ac:dyDescent="0.2">
      <c r="E242" s="160"/>
      <c r="F242" s="160"/>
      <c r="G242" s="160"/>
      <c r="L242" s="160"/>
    </row>
    <row r="243" spans="5:12" s="507" customFormat="1" x14ac:dyDescent="0.2">
      <c r="E243" s="160"/>
      <c r="F243" s="160"/>
      <c r="G243" s="160"/>
      <c r="L243" s="160"/>
    </row>
    <row r="244" spans="5:12" s="507" customFormat="1" x14ac:dyDescent="0.2">
      <c r="E244" s="160"/>
      <c r="F244" s="160"/>
      <c r="G244" s="160"/>
      <c r="L244" s="160"/>
    </row>
  </sheetData>
  <sheetProtection password="E421" sheet="1" objects="1" scenarios="1"/>
  <mergeCells count="251">
    <mergeCell ref="B9:C9"/>
    <mergeCell ref="D9:G9"/>
    <mergeCell ref="H9:K9"/>
    <mergeCell ref="B10:C10"/>
    <mergeCell ref="D10:G10"/>
    <mergeCell ref="H10:K10"/>
    <mergeCell ref="B1:D1"/>
    <mergeCell ref="E1:K1"/>
    <mergeCell ref="B3:K3"/>
    <mergeCell ref="B4:K4"/>
    <mergeCell ref="B8:C8"/>
    <mergeCell ref="D8:G8"/>
    <mergeCell ref="H8:K8"/>
    <mergeCell ref="B14:C14"/>
    <mergeCell ref="D14:G14"/>
    <mergeCell ref="H14:K14"/>
    <mergeCell ref="B15:C15"/>
    <mergeCell ref="D15:G15"/>
    <mergeCell ref="H15:K15"/>
    <mergeCell ref="B11:C11"/>
    <mergeCell ref="D11:K11"/>
    <mergeCell ref="B12:C12"/>
    <mergeCell ref="D12:K12"/>
    <mergeCell ref="B13:C13"/>
    <mergeCell ref="D13:K13"/>
    <mergeCell ref="B25:C25"/>
    <mergeCell ref="B26:C26"/>
    <mergeCell ref="D27:G27"/>
    <mergeCell ref="H27:K27"/>
    <mergeCell ref="B28:C28"/>
    <mergeCell ref="D28:G28"/>
    <mergeCell ref="H28:K28"/>
    <mergeCell ref="B16:C16"/>
    <mergeCell ref="L16:L24"/>
    <mergeCell ref="B17:C17"/>
    <mergeCell ref="B18:C18"/>
    <mergeCell ref="B19:C19"/>
    <mergeCell ref="B20:C20"/>
    <mergeCell ref="B21:C21"/>
    <mergeCell ref="B22:C22"/>
    <mergeCell ref="B23:C23"/>
    <mergeCell ref="B24:C24"/>
    <mergeCell ref="H31:K31"/>
    <mergeCell ref="B32:C32"/>
    <mergeCell ref="D32:G32"/>
    <mergeCell ref="H32:K32"/>
    <mergeCell ref="B33:C33"/>
    <mergeCell ref="D33:G33"/>
    <mergeCell ref="H33:K33"/>
    <mergeCell ref="L28:L29"/>
    <mergeCell ref="B29:C29"/>
    <mergeCell ref="D29:G29"/>
    <mergeCell ref="H29:K29"/>
    <mergeCell ref="B30:C30"/>
    <mergeCell ref="D30:G30"/>
    <mergeCell ref="H30:K30"/>
    <mergeCell ref="L30:L33"/>
    <mergeCell ref="B31:C31"/>
    <mergeCell ref="D31:G31"/>
    <mergeCell ref="B37:C37"/>
    <mergeCell ref="D37:G37"/>
    <mergeCell ref="H37:K37"/>
    <mergeCell ref="B38:C38"/>
    <mergeCell ref="D38:G38"/>
    <mergeCell ref="H38:K38"/>
    <mergeCell ref="B34:C34"/>
    <mergeCell ref="B35:C35"/>
    <mergeCell ref="D35:G35"/>
    <mergeCell ref="H35:K35"/>
    <mergeCell ref="B36:C36"/>
    <mergeCell ref="D36:G36"/>
    <mergeCell ref="H36:K36"/>
    <mergeCell ref="B41:C41"/>
    <mergeCell ref="D41:G41"/>
    <mergeCell ref="H41:K41"/>
    <mergeCell ref="B42:C42"/>
    <mergeCell ref="D42:G42"/>
    <mergeCell ref="H42:K42"/>
    <mergeCell ref="L38:L39"/>
    <mergeCell ref="B39:C39"/>
    <mergeCell ref="D39:G39"/>
    <mergeCell ref="H39:K39"/>
    <mergeCell ref="B40:C40"/>
    <mergeCell ref="D40:G40"/>
    <mergeCell ref="H40:K40"/>
    <mergeCell ref="B45:C45"/>
    <mergeCell ref="D45:G45"/>
    <mergeCell ref="H45:K45"/>
    <mergeCell ref="B46:C46"/>
    <mergeCell ref="D46:G46"/>
    <mergeCell ref="H46:K46"/>
    <mergeCell ref="B43:C43"/>
    <mergeCell ref="D43:G43"/>
    <mergeCell ref="H43:K43"/>
    <mergeCell ref="B44:C44"/>
    <mergeCell ref="D44:G44"/>
    <mergeCell ref="H44:K44"/>
    <mergeCell ref="B50:C50"/>
    <mergeCell ref="D50:G50"/>
    <mergeCell ref="H50:K50"/>
    <mergeCell ref="B51:C51"/>
    <mergeCell ref="D51:G51"/>
    <mergeCell ref="H51:K51"/>
    <mergeCell ref="L46:L49"/>
    <mergeCell ref="B47:C47"/>
    <mergeCell ref="D47:G47"/>
    <mergeCell ref="H47:K47"/>
    <mergeCell ref="B48:C48"/>
    <mergeCell ref="D48:G48"/>
    <mergeCell ref="H48:K48"/>
    <mergeCell ref="B49:C49"/>
    <mergeCell ref="D49:G49"/>
    <mergeCell ref="H49:K49"/>
    <mergeCell ref="B54:C54"/>
    <mergeCell ref="D54:G54"/>
    <mergeCell ref="H54:K54"/>
    <mergeCell ref="B55:C55"/>
    <mergeCell ref="D55:G55"/>
    <mergeCell ref="H55:K55"/>
    <mergeCell ref="B52:C52"/>
    <mergeCell ref="D52:G52"/>
    <mergeCell ref="H52:K52"/>
    <mergeCell ref="B53:C53"/>
    <mergeCell ref="D53:G53"/>
    <mergeCell ref="H53:K53"/>
    <mergeCell ref="B56:C56"/>
    <mergeCell ref="D56:G56"/>
    <mergeCell ref="H56:K56"/>
    <mergeCell ref="L56:L59"/>
    <mergeCell ref="B57:C57"/>
    <mergeCell ref="D57:G57"/>
    <mergeCell ref="H57:K57"/>
    <mergeCell ref="B58:C58"/>
    <mergeCell ref="D58:G58"/>
    <mergeCell ref="H58:K58"/>
    <mergeCell ref="B61:C61"/>
    <mergeCell ref="D61:G61"/>
    <mergeCell ref="H61:K61"/>
    <mergeCell ref="B62:C62"/>
    <mergeCell ref="D62:G62"/>
    <mergeCell ref="H62:K62"/>
    <mergeCell ref="B59:C59"/>
    <mergeCell ref="D59:G59"/>
    <mergeCell ref="H59:K59"/>
    <mergeCell ref="B60:C60"/>
    <mergeCell ref="D60:G60"/>
    <mergeCell ref="H60:K60"/>
    <mergeCell ref="B65:C65"/>
    <mergeCell ref="D65:G65"/>
    <mergeCell ref="H65:K65"/>
    <mergeCell ref="B66:C66"/>
    <mergeCell ref="D66:G66"/>
    <mergeCell ref="H66:K66"/>
    <mergeCell ref="B63:C63"/>
    <mergeCell ref="D63:G63"/>
    <mergeCell ref="H63:K63"/>
    <mergeCell ref="B64:C64"/>
    <mergeCell ref="D64:G64"/>
    <mergeCell ref="H64:K64"/>
    <mergeCell ref="L66:L69"/>
    <mergeCell ref="B67:C67"/>
    <mergeCell ref="D67:G67"/>
    <mergeCell ref="H67:K67"/>
    <mergeCell ref="B68:C68"/>
    <mergeCell ref="D68:G68"/>
    <mergeCell ref="H68:K68"/>
    <mergeCell ref="B69:C69"/>
    <mergeCell ref="D69:G69"/>
    <mergeCell ref="H69:K69"/>
    <mergeCell ref="B73:C73"/>
    <mergeCell ref="D73:G73"/>
    <mergeCell ref="H73:K73"/>
    <mergeCell ref="B74:C74"/>
    <mergeCell ref="D74:G74"/>
    <mergeCell ref="H74:K74"/>
    <mergeCell ref="B70:C70"/>
    <mergeCell ref="D70:G70"/>
    <mergeCell ref="H70:K70"/>
    <mergeCell ref="D71:G71"/>
    <mergeCell ref="H71:K71"/>
    <mergeCell ref="B72:C72"/>
    <mergeCell ref="D72:G72"/>
    <mergeCell ref="H72:K72"/>
    <mergeCell ref="B79:C79"/>
    <mergeCell ref="D79:K79"/>
    <mergeCell ref="B80:C80"/>
    <mergeCell ref="D80:K80"/>
    <mergeCell ref="B81:C81"/>
    <mergeCell ref="B82:C82"/>
    <mergeCell ref="D82:G82"/>
    <mergeCell ref="H82:K82"/>
    <mergeCell ref="B75:C75"/>
    <mergeCell ref="B76:C76"/>
    <mergeCell ref="D76:K76"/>
    <mergeCell ref="B77:C77"/>
    <mergeCell ref="D77:K77"/>
    <mergeCell ref="B78:C78"/>
    <mergeCell ref="B86:C86"/>
    <mergeCell ref="B87:C87"/>
    <mergeCell ref="D87:G87"/>
    <mergeCell ref="H87:K87"/>
    <mergeCell ref="B88:C88"/>
    <mergeCell ref="D88:G88"/>
    <mergeCell ref="H88:K88"/>
    <mergeCell ref="B83:C83"/>
    <mergeCell ref="D83:G83"/>
    <mergeCell ref="H83:K83"/>
    <mergeCell ref="B84:C84"/>
    <mergeCell ref="D84:K84"/>
    <mergeCell ref="B85:C85"/>
    <mergeCell ref="D85:G85"/>
    <mergeCell ref="H85:K85"/>
    <mergeCell ref="B92:C92"/>
    <mergeCell ref="D92:G92"/>
    <mergeCell ref="H92:K92"/>
    <mergeCell ref="B93:C93"/>
    <mergeCell ref="D93:G93"/>
    <mergeCell ref="H93:K93"/>
    <mergeCell ref="B89:C89"/>
    <mergeCell ref="D89:G89"/>
    <mergeCell ref="H89:K89"/>
    <mergeCell ref="B90:C90"/>
    <mergeCell ref="B91:C91"/>
    <mergeCell ref="D91:G91"/>
    <mergeCell ref="H91:K91"/>
    <mergeCell ref="B115:C115"/>
    <mergeCell ref="B116:C116"/>
    <mergeCell ref="E122:N122"/>
    <mergeCell ref="E130:N130"/>
    <mergeCell ref="J139:M140"/>
    <mergeCell ref="B140:G141"/>
    <mergeCell ref="D94:K94"/>
    <mergeCell ref="B96:L96"/>
    <mergeCell ref="B98:I98"/>
    <mergeCell ref="E109:F109"/>
    <mergeCell ref="B112:C113"/>
    <mergeCell ref="E112:N112"/>
    <mergeCell ref="E113:N113"/>
    <mergeCell ref="B198:K199"/>
    <mergeCell ref="B178:E178"/>
    <mergeCell ref="B179:E179"/>
    <mergeCell ref="B180:E180"/>
    <mergeCell ref="B181:E181"/>
    <mergeCell ref="B195:K196"/>
    <mergeCell ref="B197:K197"/>
    <mergeCell ref="B147:G149"/>
    <mergeCell ref="I149:N151"/>
    <mergeCell ref="B163:F163"/>
    <mergeCell ref="B173:E174"/>
    <mergeCell ref="B176:E176"/>
    <mergeCell ref="B177:E177"/>
  </mergeCells>
  <conditionalFormatting sqref="H88 H81 D81 D76 D83:K84 E1:K1 D46:K49 D56:K59 D66:K69 H91:K92 D32:K33 D79:K79">
    <cfRule type="cellIs" dxfId="369" priority="19" operator="lessThan">
      <formula>0.00001</formula>
    </cfRule>
  </conditionalFormatting>
  <conditionalFormatting sqref="I94:I97 F123:K129 F99:F108 D142:G146 B93 G99:I111 J94:K111 F110:F111 F114:K121 D150:F162 H131:H195 G150:G195 F131:G139 D99:E139 D81:D92 D93:H97 E81:H83 I131:K137 B94:C94 D39:K39 D72:H78 L77 D33:K33 I73:K78 I81:K82 E92:L92 E85:K91 I93:K93 D164:F195 I160:K195">
    <cfRule type="containsErrors" dxfId="368" priority="12">
      <formula>ISERROR(B33)</formula>
    </cfRule>
  </conditionalFormatting>
  <conditionalFormatting sqref="H81 D81 D83:K84 D11:K13 D79:K79">
    <cfRule type="cellIs" dxfId="367" priority="17" operator="lessThan">
      <formula>0.0001</formula>
    </cfRule>
  </conditionalFormatting>
  <conditionalFormatting sqref="H88 H81 D81 D83:K84 D67:K69 D57:K59 H91:K92 D47:K49 D79:K79">
    <cfRule type="cellIs" priority="16" operator="lessThan">
      <formula>0.00001</formula>
    </cfRule>
  </conditionalFormatting>
  <conditionalFormatting sqref="H88 D11:K13 H91:K92">
    <cfRule type="cellIs" dxfId="366" priority="15" operator="lessThan">
      <formula>0.000001</formula>
    </cfRule>
  </conditionalFormatting>
  <conditionalFormatting sqref="D38:K39">
    <cfRule type="cellIs" dxfId="365" priority="14" operator="lessThan">
      <formula>0.00001</formula>
    </cfRule>
  </conditionalFormatting>
  <conditionalFormatting sqref="L92 L77">
    <cfRule type="cellIs" dxfId="364" priority="13" operator="greaterThan">
      <formula>$G$35</formula>
    </cfRule>
  </conditionalFormatting>
  <conditionalFormatting sqref="H85:K85">
    <cfRule type="cellIs" dxfId="363" priority="18" operator="greaterThan">
      <formula>$D$85</formula>
    </cfRule>
  </conditionalFormatting>
  <conditionalFormatting sqref="D80:K80">
    <cfRule type="cellIs" dxfId="362" priority="9" operator="lessThan">
      <formula>0.00001</formula>
    </cfRule>
  </conditionalFormatting>
  <conditionalFormatting sqref="D80:K80">
    <cfRule type="cellIs" dxfId="361" priority="8" operator="lessThan">
      <formula>0.0001</formula>
    </cfRule>
  </conditionalFormatting>
  <conditionalFormatting sqref="D80:K80">
    <cfRule type="cellIs" priority="7" operator="lessThan">
      <formula>0.00001</formula>
    </cfRule>
  </conditionalFormatting>
  <conditionalFormatting sqref="D80:K80">
    <cfRule type="cellIs" dxfId="360" priority="6" operator="lessThan">
      <formula>0.00001</formula>
    </cfRule>
  </conditionalFormatting>
  <conditionalFormatting sqref="D80:K80">
    <cfRule type="cellIs" dxfId="359" priority="5" operator="lessThan">
      <formula>0.0001</formula>
    </cfRule>
  </conditionalFormatting>
  <conditionalFormatting sqref="D80:K80">
    <cfRule type="cellIs" priority="4" operator="lessThan">
      <formula>0.00001</formula>
    </cfRule>
  </conditionalFormatting>
  <conditionalFormatting sqref="D80:K80">
    <cfRule type="cellIs" dxfId="358" priority="3" operator="lessThan">
      <formula>0.00001</formula>
    </cfRule>
  </conditionalFormatting>
  <conditionalFormatting sqref="D80:K80">
    <cfRule type="cellIs" dxfId="357" priority="2" operator="lessThan">
      <formula>0.0001</formula>
    </cfRule>
  </conditionalFormatting>
  <conditionalFormatting sqref="D80:K80">
    <cfRule type="cellIs" priority="1" operator="lessThan">
      <formula>0.00001</formula>
    </cfRule>
  </conditionalFormatting>
  <dataValidations disablePrompts="1" count="3">
    <dataValidation type="list" allowBlank="1" showInputMessage="1" showErrorMessage="1" sqref="D45:K45 D55:K55 D65:K65" xr:uid="{00000000-0002-0000-0C00-000000000000}">
      <formula1>$B$151:$B$156</formula1>
    </dataValidation>
    <dataValidation type="list" allowBlank="1" showInputMessage="1" showErrorMessage="1" sqref="D37:K37" xr:uid="{00000000-0002-0000-0C00-000001000000}">
      <formula1>$B$159:$B$160</formula1>
    </dataValidation>
    <dataValidation type="list" allowBlank="1" showInputMessage="1" showErrorMessage="1" sqref="D31 H31" xr:uid="{00000000-0002-0000-0C00-000002000000}">
      <formula1>$B$143:$B$145</formula1>
    </dataValidation>
  </dataValidations>
  <hyperlinks>
    <hyperlink ref="L12" location="PPT" display="From Site Data" xr:uid="{00000000-0004-0000-0C00-000000000000}"/>
    <hyperlink ref="L38" location="VELOCITY" display="See Shallow Flow Calculations" xr:uid="{00000000-0004-0000-0C00-000001000000}"/>
    <hyperlink ref="L46" location="mannings_channel" display="See Channel Flow" xr:uid="{00000000-0004-0000-0C00-000002000000}"/>
    <hyperlink ref="L38:L39" location="SHALLOW" display="See Shallow Flow Calculations" xr:uid="{00000000-0004-0000-0C00-000003000000}"/>
    <hyperlink ref="L46:L49" location="CHANNEL" display="See Open Channel Flow" xr:uid="{00000000-0004-0000-0C00-000004000000}"/>
    <hyperlink ref="L56" location="mannings_channel" display="See Channel Flow" xr:uid="{00000000-0004-0000-0C00-000005000000}"/>
    <hyperlink ref="L56:L59" location="CHANNEL" display="See Open Channel Flow" xr:uid="{00000000-0004-0000-0C00-000006000000}"/>
    <hyperlink ref="L66" location="mannings_channel" display="See Channel Flow" xr:uid="{00000000-0004-0000-0C00-000007000000}"/>
    <hyperlink ref="L66:L69" location="CHANNEL" display="See Open Channel Flow" xr:uid="{00000000-0004-0000-0C00-000008000000}"/>
    <hyperlink ref="L30:L33" location="SHEET" display="See Sheet Flow Calculations" xr:uid="{00000000-0004-0000-0C00-000009000000}"/>
    <hyperlink ref="L74" location="WCN" display="See Weighted Curve Number" xr:uid="{00000000-0004-0000-0C00-00000A000000}"/>
    <hyperlink ref="L70" location="Tc" display="See Tc" xr:uid="{00000000-0004-0000-0C00-00000B000000}"/>
    <hyperlink ref="L16:L24" location="WCN" display="See Weighted Curve Number" xr:uid="{00000000-0004-0000-0C00-00000C000000}"/>
    <hyperlink ref="L82" location="SCS" display="See SCS Runoff Method" xr:uid="{00000000-0004-0000-0C00-00000D000000}"/>
    <hyperlink ref="L79" location="hd" display="See Discrete Runoff Method" xr:uid="{00000000-0004-0000-0C00-00000E000000}"/>
    <hyperlink ref="L87" location="SCS" display="See SCS Runoff Method" xr:uid="{00000000-0004-0000-0C00-00000F000000}"/>
    <hyperlink ref="L91" location="SCS" display="See SCS Runoff Method" xr:uid="{00000000-0004-0000-0C00-000010000000}"/>
    <hyperlink ref="L85" location="PEAK" display="See Peak Flow Calculations" xr:uid="{00000000-0004-0000-0C00-000011000000}"/>
    <hyperlink ref="L89" location="PEAK" display="See Peak Flow Calculations" xr:uid="{00000000-0004-0000-0C00-000012000000}"/>
    <hyperlink ref="L76" location="Disconnected" display="See Disconnected Impervious Calculation" xr:uid="{00000000-0004-0000-0C00-000013000000}"/>
    <hyperlink ref="B195:K196" location="'DA2'!A1" display="CLICK TO ADD ANOTHER DRAINAGE AREA" xr:uid="{00000000-0004-0000-0C00-000014000000}"/>
    <hyperlink ref="B198:K199" location="'SITE SUMMARY'!A1" display="CONTINUE TO SITE SUMMARY" xr:uid="{00000000-0004-0000-0C00-000015000000}"/>
    <hyperlink ref="L80" location="hd" display="See Discrete Runoff Method" xr:uid="{00000000-0004-0000-0C00-000016000000}"/>
  </hyperlinks>
  <printOptions horizontalCentered="1"/>
  <pageMargins left="0.7" right="0.7" top="0.75" bottom="0.75" header="0.3" footer="0.3"/>
  <pageSetup scale="54" fitToHeight="2" orientation="portrait" copies="5" r:id="rId1"/>
  <headerFooter>
    <oddFooter>&amp;A&amp;RPage &amp;P</oddFooter>
  </headerFooter>
  <rowBreaks count="1" manualBreakCount="1">
    <brk id="49" min="1" max="10"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C000"/>
    <pageSetUpPr fitToPage="1"/>
  </sheetPr>
  <dimension ref="A1:AA238"/>
  <sheetViews>
    <sheetView topLeftCell="A51" zoomScale="85" zoomScaleNormal="85" workbookViewId="0">
      <selection activeCell="C57" sqref="C57:G57"/>
    </sheetView>
  </sheetViews>
  <sheetFormatPr defaultColWidth="8.88671875" defaultRowHeight="15" x14ac:dyDescent="0.2"/>
  <cols>
    <col min="1" max="1" width="3.77734375" style="158" customWidth="1"/>
    <col min="2" max="2" width="45.77734375" style="161" bestFit="1" customWidth="1"/>
    <col min="3" max="3" width="9.33203125" style="161" bestFit="1" customWidth="1"/>
    <col min="4" max="4" width="8.33203125" style="161" customWidth="1"/>
    <col min="5" max="5" width="9.44140625" style="161" customWidth="1"/>
    <col min="6" max="12" width="8.33203125" style="161" customWidth="1"/>
    <col min="13" max="13" width="41.33203125" style="161" bestFit="1" customWidth="1"/>
    <col min="14" max="16" width="14.77734375" style="158" customWidth="1"/>
    <col min="17" max="17" width="11.77734375" style="158" bestFit="1" customWidth="1"/>
    <col min="18" max="21" width="8.88671875" style="158"/>
    <col min="22" max="16384" width="8.88671875" style="161"/>
  </cols>
  <sheetData>
    <row r="1" spans="1:21" ht="16.5" thickBot="1" x14ac:dyDescent="0.3">
      <c r="B1" s="787" t="s">
        <v>31</v>
      </c>
      <c r="C1" s="787"/>
      <c r="D1" s="787"/>
      <c r="E1" s="931"/>
      <c r="F1" s="788">
        <f>'SITE DATA'!F9</f>
        <v>0</v>
      </c>
      <c r="G1" s="789"/>
      <c r="H1" s="789"/>
      <c r="I1" s="789"/>
      <c r="J1" s="789"/>
      <c r="K1" s="789"/>
      <c r="L1" s="790"/>
      <c r="M1" s="158"/>
    </row>
    <row r="2" spans="1:21" x14ac:dyDescent="0.2">
      <c r="B2" s="158"/>
      <c r="C2" s="158"/>
      <c r="D2" s="158"/>
      <c r="E2" s="158"/>
      <c r="F2" s="158"/>
      <c r="G2" s="158"/>
      <c r="H2" s="158"/>
      <c r="I2" s="158"/>
      <c r="J2" s="158"/>
      <c r="K2" s="158"/>
      <c r="L2" s="158"/>
      <c r="M2" s="158"/>
    </row>
    <row r="3" spans="1:21" x14ac:dyDescent="0.2">
      <c r="B3" s="158"/>
      <c r="C3" s="158"/>
      <c r="D3" s="158"/>
      <c r="E3" s="158"/>
      <c r="F3" s="158"/>
      <c r="G3" s="158"/>
      <c r="H3" s="158"/>
      <c r="I3" s="158"/>
      <c r="J3" s="158"/>
      <c r="K3" s="158"/>
      <c r="L3" s="158"/>
      <c r="M3" s="158"/>
    </row>
    <row r="4" spans="1:21" ht="18" x14ac:dyDescent="0.25">
      <c r="B4" s="797" t="s">
        <v>358</v>
      </c>
      <c r="C4" s="797"/>
      <c r="D4" s="797"/>
      <c r="E4" s="797"/>
      <c r="F4" s="797"/>
      <c r="G4" s="797"/>
      <c r="H4" s="797"/>
      <c r="I4" s="797"/>
      <c r="J4" s="797"/>
      <c r="K4" s="797"/>
      <c r="L4" s="797"/>
      <c r="M4" s="158"/>
    </row>
    <row r="5" spans="1:21" ht="18" x14ac:dyDescent="0.25">
      <c r="B5" s="797" t="s">
        <v>8</v>
      </c>
      <c r="C5" s="797"/>
      <c r="D5" s="797"/>
      <c r="E5" s="797"/>
      <c r="F5" s="797"/>
      <c r="G5" s="797"/>
      <c r="H5" s="797"/>
      <c r="I5" s="797"/>
      <c r="J5" s="797"/>
      <c r="K5" s="797"/>
      <c r="L5" s="797"/>
      <c r="M5" s="158"/>
    </row>
    <row r="6" spans="1:21" x14ac:dyDescent="0.2">
      <c r="B6" s="158"/>
      <c r="C6" s="305"/>
      <c r="D6" s="158"/>
      <c r="E6" s="158"/>
      <c r="F6" s="158"/>
      <c r="G6" s="158"/>
      <c r="H6" s="158"/>
      <c r="I6" s="158"/>
      <c r="J6" s="158"/>
      <c r="K6" s="158"/>
      <c r="L6" s="158"/>
      <c r="M6" s="158"/>
    </row>
    <row r="7" spans="1:21" ht="15.75" thickBot="1" x14ac:dyDescent="0.25">
      <c r="B7" s="158"/>
      <c r="C7" s="305"/>
      <c r="D7" s="158"/>
      <c r="E7" s="158"/>
      <c r="F7" s="158"/>
      <c r="G7" s="158"/>
      <c r="H7" s="158"/>
      <c r="I7" s="158"/>
      <c r="J7" s="158"/>
      <c r="K7" s="158"/>
      <c r="L7" s="158"/>
      <c r="M7" s="158"/>
    </row>
    <row r="8" spans="1:21" s="306" customFormat="1" ht="24.95" customHeight="1" thickTop="1" thickBot="1" x14ac:dyDescent="0.25">
      <c r="A8" s="164"/>
      <c r="B8" s="932" t="s">
        <v>182</v>
      </c>
      <c r="C8" s="933"/>
      <c r="D8" s="933"/>
      <c r="E8" s="933"/>
      <c r="F8" s="933"/>
      <c r="G8" s="933"/>
      <c r="H8" s="933"/>
      <c r="I8" s="933"/>
      <c r="J8" s="933"/>
      <c r="K8" s="933"/>
      <c r="L8" s="934"/>
      <c r="M8" s="238" t="s">
        <v>319</v>
      </c>
      <c r="N8" s="164"/>
      <c r="O8" s="164"/>
      <c r="P8" s="164"/>
      <c r="Q8" s="164"/>
      <c r="R8" s="164"/>
      <c r="S8" s="164"/>
      <c r="T8" s="164"/>
      <c r="U8" s="164"/>
    </row>
    <row r="9" spans="1:21" s="306" customFormat="1" ht="24.95" customHeight="1" thickBot="1" x14ac:dyDescent="0.25">
      <c r="A9" s="164"/>
      <c r="B9" s="943" t="s">
        <v>181</v>
      </c>
      <c r="C9" s="944"/>
      <c r="D9" s="944"/>
      <c r="E9" s="944"/>
      <c r="F9" s="944"/>
      <c r="G9" s="944"/>
      <c r="H9" s="944"/>
      <c r="I9" s="944"/>
      <c r="J9" s="944"/>
      <c r="K9" s="944"/>
      <c r="L9" s="945"/>
      <c r="M9" s="307"/>
      <c r="N9" s="164"/>
      <c r="O9" s="164"/>
      <c r="P9" s="164"/>
      <c r="Q9" s="164"/>
      <c r="R9" s="164"/>
      <c r="S9" s="164"/>
      <c r="T9" s="164"/>
      <c r="U9" s="164"/>
    </row>
    <row r="10" spans="1:21" s="310" customFormat="1" ht="24.95" customHeight="1" x14ac:dyDescent="0.2">
      <c r="A10" s="309"/>
      <c r="B10" s="457" t="s">
        <v>196</v>
      </c>
      <c r="C10" s="52" t="s">
        <v>185</v>
      </c>
      <c r="D10" s="52" t="s">
        <v>186</v>
      </c>
      <c r="E10" s="52" t="s">
        <v>187</v>
      </c>
      <c r="F10" s="52" t="s">
        <v>188</v>
      </c>
      <c r="G10" s="52" t="s">
        <v>189</v>
      </c>
      <c r="H10" s="52" t="s">
        <v>190</v>
      </c>
      <c r="I10" s="52" t="s">
        <v>191</v>
      </c>
      <c r="J10" s="52" t="s">
        <v>192</v>
      </c>
      <c r="K10" s="52" t="s">
        <v>193</v>
      </c>
      <c r="L10" s="458" t="s">
        <v>194</v>
      </c>
      <c r="M10" s="308"/>
      <c r="N10" s="309"/>
      <c r="O10" s="309"/>
      <c r="P10" s="309"/>
      <c r="Q10" s="309"/>
      <c r="R10" s="309"/>
      <c r="S10" s="309"/>
      <c r="T10" s="309"/>
      <c r="U10" s="309"/>
    </row>
    <row r="11" spans="1:21" s="309" customFormat="1" ht="15.75" x14ac:dyDescent="0.2">
      <c r="B11" s="940" t="s">
        <v>426</v>
      </c>
      <c r="C11" s="941"/>
      <c r="D11" s="941"/>
      <c r="E11" s="941"/>
      <c r="F11" s="941"/>
      <c r="G11" s="941"/>
      <c r="H11" s="941"/>
      <c r="I11" s="941"/>
      <c r="J11" s="941"/>
      <c r="K11" s="941"/>
      <c r="L11" s="942"/>
      <c r="M11" s="308"/>
    </row>
    <row r="12" spans="1:21" s="313" customFormat="1" ht="24.95" hidden="1" customHeight="1" x14ac:dyDescent="0.25">
      <c r="A12" s="231"/>
      <c r="B12" s="459" t="s">
        <v>200</v>
      </c>
      <c r="C12" s="311" t="str">
        <f>IF(ISERROR('DA1'!$D$74),"0",'DA1'!$D$74)</f>
        <v>0</v>
      </c>
      <c r="D12" s="311" t="str">
        <f>IF(ISERROR('DA2'!$D$74),"0",'DA2'!$D$74)</f>
        <v>0</v>
      </c>
      <c r="E12" s="311" t="str">
        <f>IF(ISERROR('DA3'!$D$74),"0",'DA3'!$D$74)</f>
        <v>0</v>
      </c>
      <c r="F12" s="311" t="str">
        <f>IF(ISERROR('DA4'!$D$74),"0",'DA4'!$D$74)</f>
        <v>0</v>
      </c>
      <c r="G12" s="311" t="str">
        <f>IF(ISERROR('DA5'!$D$74),"0",'DA5'!$D$74)</f>
        <v>0</v>
      </c>
      <c r="H12" s="311" t="str">
        <f>IF(ISERROR('DA6'!$D$74),"0",'DA6'!$D$74)</f>
        <v>0</v>
      </c>
      <c r="I12" s="311" t="str">
        <f>IF(ISERROR('DA7'!$D$74),"0",'DA7'!$D$74)</f>
        <v>0</v>
      </c>
      <c r="J12" s="311" t="str">
        <f>IF(ISERROR('DA8'!$D$74),"0",'DA8'!$D$74)</f>
        <v>0</v>
      </c>
      <c r="K12" s="311" t="str">
        <f>IF(ISERROR('DA9'!$D$74),"0",'DA9'!$D$74)</f>
        <v>0</v>
      </c>
      <c r="L12" s="311" t="str">
        <f>IF(ISERROR('DA10'!$D$74),"0",'DA10'!$D$74)</f>
        <v>0</v>
      </c>
      <c r="M12" s="312" t="s">
        <v>296</v>
      </c>
      <c r="N12" s="231"/>
      <c r="O12" s="231"/>
      <c r="P12" s="231"/>
      <c r="Q12" s="231"/>
      <c r="R12" s="231"/>
      <c r="S12" s="231"/>
      <c r="T12" s="231"/>
      <c r="U12" s="231"/>
    </row>
    <row r="13" spans="1:21" s="313" customFormat="1" ht="15.75" hidden="1" x14ac:dyDescent="0.25">
      <c r="A13" s="231"/>
      <c r="B13" s="459" t="s">
        <v>251</v>
      </c>
      <c r="C13" s="314" t="str">
        <f>'DA1'!$D$10</f>
        <v xml:space="preserve"> </v>
      </c>
      <c r="D13" s="314" t="str">
        <f>'DA2'!$D$10</f>
        <v xml:space="preserve"> </v>
      </c>
      <c r="E13" s="314" t="str">
        <f>'DA3'!$D$10</f>
        <v xml:space="preserve"> </v>
      </c>
      <c r="F13" s="314">
        <f>'DA4'!$D$10</f>
        <v>0</v>
      </c>
      <c r="G13" s="314">
        <f>'DA5'!$D$10</f>
        <v>0</v>
      </c>
      <c r="H13" s="314">
        <f>'DA6'!$D$10</f>
        <v>0</v>
      </c>
      <c r="I13" s="314">
        <f>'DA7'!$D$10</f>
        <v>0</v>
      </c>
      <c r="J13" s="314">
        <f>'DA8'!$D$10</f>
        <v>0</v>
      </c>
      <c r="K13" s="314">
        <f>'DA9'!$D$10</f>
        <v>0</v>
      </c>
      <c r="L13" s="314">
        <f>'DA10'!$D$10</f>
        <v>0</v>
      </c>
      <c r="M13" s="317" t="s">
        <v>296</v>
      </c>
      <c r="N13" s="231"/>
      <c r="O13" s="403"/>
      <c r="P13" s="403"/>
      <c r="Q13" s="403"/>
      <c r="R13" s="405"/>
      <c r="S13" s="231"/>
      <c r="T13" s="231"/>
      <c r="U13" s="231"/>
    </row>
    <row r="14" spans="1:21" ht="24.95" customHeight="1" x14ac:dyDescent="0.2">
      <c r="B14" s="583" t="s">
        <v>360</v>
      </c>
      <c r="C14" s="585" t="str">
        <f>IF(ISERROR('DA1'!$D$82),"",'DA1'!$D$82)</f>
        <v/>
      </c>
      <c r="D14" s="585" t="str">
        <f>IF(ISERROR('DA2'!$D$82),"",'DA2'!$D$82)</f>
        <v/>
      </c>
      <c r="E14" s="585" t="str">
        <f>IF(ISERROR('DA3'!$D$82),"",'DA3'!$D$82)</f>
        <v/>
      </c>
      <c r="F14" s="585" t="str">
        <f>IF(ISERROR('DA4'!$D$82),"",'DA4'!$D$82)</f>
        <v/>
      </c>
      <c r="G14" s="585" t="str">
        <f>IF(ISERROR('DA5'!$D$82),"",'DA5'!$D$82)</f>
        <v/>
      </c>
      <c r="H14" s="585" t="str">
        <f>IF(ISERROR('DA6'!$D$82),"",'DA6'!$D$82)</f>
        <v/>
      </c>
      <c r="I14" s="585" t="str">
        <f>IF(ISERROR('DA7'!$D$82),"",'DA7'!$D$82)</f>
        <v/>
      </c>
      <c r="J14" s="585" t="str">
        <f>IF(ISERROR('DA8'!$D$82),"",'DA8'!$D$82)</f>
        <v/>
      </c>
      <c r="K14" s="585" t="str">
        <f>IF(ISERROR('DA9'!$D$82),"",'DA9'!$D$82)</f>
        <v/>
      </c>
      <c r="L14" s="587" t="str">
        <f>IF(ISERROR('DA10'!$D$82),"",'DA10'!$D$82)</f>
        <v/>
      </c>
      <c r="M14" s="320"/>
      <c r="N14" s="321"/>
      <c r="O14" s="59"/>
      <c r="P14" s="59"/>
      <c r="Q14" s="59"/>
      <c r="R14" s="242"/>
    </row>
    <row r="15" spans="1:21" ht="24.95" customHeight="1" x14ac:dyDescent="0.2">
      <c r="B15" s="583" t="s">
        <v>204</v>
      </c>
      <c r="C15" s="410" t="str">
        <f>IF(ISERROR('DA1'!$D$85),"",'DA1'!$D$85)</f>
        <v/>
      </c>
      <c r="D15" s="410" t="str">
        <f>IF(ISERROR('DA2'!$D$85),"",'DA2'!$D$85)</f>
        <v/>
      </c>
      <c r="E15" s="410" t="str">
        <f>IF(ISERROR('DA3'!$D$85),"",'DA3'!$D$85)</f>
        <v/>
      </c>
      <c r="F15" s="410" t="str">
        <f>IF(ISERROR('DA4'!$D$85),"",'DA4'!$D$85)</f>
        <v/>
      </c>
      <c r="G15" s="410" t="str">
        <f>IF(ISERROR('DA5'!$D$85),"",'DA5'!$D$85)</f>
        <v/>
      </c>
      <c r="H15" s="410" t="str">
        <f>IF(ISERROR('DA6'!$D$85),"",'DA6'!$D$85)</f>
        <v/>
      </c>
      <c r="I15" s="410" t="str">
        <f>IF(ISERROR('DA7'!$D$85),"",'DA7'!$D$85)</f>
        <v/>
      </c>
      <c r="J15" s="410" t="str">
        <f>IF(ISERROR('DA8'!$D$85),"",'DA8'!$D$85)</f>
        <v/>
      </c>
      <c r="K15" s="410" t="str">
        <f>IF(ISERROR('DA9'!$D$85),"",'DA9'!$D$85)</f>
        <v/>
      </c>
      <c r="L15" s="617" t="str">
        <f>IF(ISERROR('DA10'!$D$85),"",'DA10'!$D$85)</f>
        <v/>
      </c>
      <c r="M15" s="322"/>
      <c r="N15" s="59"/>
      <c r="O15" s="60"/>
      <c r="P15" s="60"/>
      <c r="Q15" s="60"/>
      <c r="R15" s="242"/>
    </row>
    <row r="16" spans="1:21" ht="24.95" customHeight="1" x14ac:dyDescent="0.2">
      <c r="B16" s="940" t="s">
        <v>425</v>
      </c>
      <c r="C16" s="941"/>
      <c r="D16" s="941"/>
      <c r="E16" s="941"/>
      <c r="F16" s="941"/>
      <c r="G16" s="941"/>
      <c r="H16" s="941"/>
      <c r="I16" s="941"/>
      <c r="J16" s="941"/>
      <c r="K16" s="941"/>
      <c r="L16" s="942"/>
      <c r="M16" s="320"/>
      <c r="N16" s="59"/>
      <c r="O16" s="60"/>
      <c r="P16" s="60"/>
      <c r="Q16" s="60"/>
      <c r="R16" s="242"/>
    </row>
    <row r="17" spans="1:21" ht="24.95" customHeight="1" x14ac:dyDescent="0.2">
      <c r="B17" s="583" t="s">
        <v>205</v>
      </c>
      <c r="C17" s="585" t="str">
        <f>IF(SUM('DA1'!$H$10)&gt;0,SUM('DA1'!$H$25:$K$26),"")</f>
        <v/>
      </c>
      <c r="D17" s="585" t="str">
        <f>IF(SUM('DA2'!$H$10)&gt;0,SUM('DA2'!$H$25:$K$26),"")</f>
        <v/>
      </c>
      <c r="E17" s="585" t="str">
        <f>IF(SUM('DA3'!$H$10)&gt;0,SUM('DA3'!$H$25:$K$26),"")</f>
        <v/>
      </c>
      <c r="F17" s="585" t="str">
        <f>IF(SUM('DA4'!$H$10)&gt;0,SUM('DA4'!$H$25:$K$26),"")</f>
        <v/>
      </c>
      <c r="G17" s="585" t="str">
        <f>IF(SUM('DA5'!$H$10)&gt;0,SUM('DA5'!$H$25:$K$26),"")</f>
        <v/>
      </c>
      <c r="H17" s="585" t="str">
        <f>IF(SUM('DA6'!$H$10)&gt;0,SUM('DA6'!$H$25:$K$26),"")</f>
        <v/>
      </c>
      <c r="I17" s="585" t="str">
        <f>IF(SUM('DA7'!$H$10)&gt;0,SUM('DA7'!$H$25:$K$26),"")</f>
        <v/>
      </c>
      <c r="J17" s="585" t="str">
        <f>IF(SUM('DA8'!$H$10)&gt;0,SUM('DA8'!$H$25:$K$26),"")</f>
        <v/>
      </c>
      <c r="K17" s="585" t="str">
        <f>IF(SUM('DA9'!$H$10)&gt;0,SUM('DA9'!$H$25:$K$26),"")</f>
        <v/>
      </c>
      <c r="L17" s="587" t="str">
        <f>IF(SUM('DA10'!$H$10)&gt;0,SUM('DA10'!$H$25:$K$26),"")</f>
        <v/>
      </c>
      <c r="M17" s="320"/>
      <c r="N17" s="59"/>
      <c r="O17" s="60"/>
      <c r="P17" s="60"/>
      <c r="Q17" s="60"/>
      <c r="R17" s="242"/>
    </row>
    <row r="18" spans="1:21" s="439" customFormat="1" ht="24.95" hidden="1" customHeight="1" x14ac:dyDescent="0.25">
      <c r="A18" s="454"/>
      <c r="B18" s="459" t="s">
        <v>94</v>
      </c>
      <c r="C18" s="585" t="str">
        <f>IF(ISERROR('DA1'!$H$14),"-",'DA1'!$H$14)</f>
        <v xml:space="preserve"> </v>
      </c>
      <c r="D18" s="585" t="str">
        <f>IF(ISERROR('DA2'!$H$14),"-",'DA2'!$H$14)</f>
        <v xml:space="preserve"> </v>
      </c>
      <c r="E18" s="585" t="str">
        <f>IF(ISERROR('DA3'!$H$14),"-",'DA3'!$H$14)</f>
        <v xml:space="preserve"> </v>
      </c>
      <c r="F18" s="585">
        <f>IF(ISERROR('DA4'!$H$14),"-",'DA4'!$H$14)</f>
        <v>0</v>
      </c>
      <c r="G18" s="585">
        <f>IF(ISERROR('DA5'!$H$14),"-",'DA5'!$H$14)</f>
        <v>0</v>
      </c>
      <c r="H18" s="585">
        <f>IF(ISERROR('DA6'!$H$14),"-",'DA6'!$H$14)</f>
        <v>0</v>
      </c>
      <c r="I18" s="585">
        <f>IF(ISERROR('DA7'!$H$14),"-",'DA7'!$H$14)</f>
        <v>0</v>
      </c>
      <c r="J18" s="585">
        <f>IF(ISERROR('DA8'!$H$14),"-",'DA8'!$H$14)</f>
        <v>0</v>
      </c>
      <c r="K18" s="585">
        <f>IF(ISERROR('DA9'!$H$14),"-",'DA9'!$H$14)</f>
        <v>0</v>
      </c>
      <c r="L18" s="587">
        <f>IF(ISERROR('DA10'!$H$14),"-",'DA10'!$H$14)</f>
        <v>0</v>
      </c>
      <c r="M18" s="438" t="s">
        <v>296</v>
      </c>
      <c r="N18" s="452"/>
      <c r="O18" s="453"/>
      <c r="P18" s="453"/>
      <c r="Q18" s="453"/>
      <c r="R18" s="452"/>
      <c r="S18" s="454"/>
      <c r="T18" s="454"/>
      <c r="U18" s="454"/>
    </row>
    <row r="19" spans="1:21" s="439" customFormat="1" ht="24.95" hidden="1" customHeight="1" x14ac:dyDescent="0.25">
      <c r="A19" s="454"/>
      <c r="B19" s="459" t="s">
        <v>201</v>
      </c>
      <c r="C19" s="585" t="str">
        <f>IF(ISERROR('DA1'!$D$77),"0",'DA1'!$D$77)</f>
        <v>0</v>
      </c>
      <c r="D19" s="585" t="str">
        <f>IF(ISERROR('DA2'!$D$77),"0",'DA2'!$D$77)</f>
        <v>0</v>
      </c>
      <c r="E19" s="585" t="str">
        <f>IF(ISERROR('DA3'!$D$77),"0",'DA3'!$D$77)</f>
        <v>0</v>
      </c>
      <c r="F19" s="585" t="str">
        <f>IF(ISERROR('DA4'!$D$77),"0",'DA4'!$D$77)</f>
        <v>0</v>
      </c>
      <c r="G19" s="585" t="str">
        <f>IF(ISERROR('DA5'!$D$77),"0",'DA5'!$D$77)</f>
        <v>0</v>
      </c>
      <c r="H19" s="585" t="str">
        <f>IF(ISERROR('DA6'!$D$77),"0",'DA6'!$D$77)</f>
        <v>0</v>
      </c>
      <c r="I19" s="585" t="str">
        <f>IF(ISERROR('DA7'!$D$77),"0",'DA7'!$D$77)</f>
        <v>0</v>
      </c>
      <c r="J19" s="585" t="str">
        <f>IF(ISERROR('DA8'!$D$77),"0",'DA8'!$D$77)</f>
        <v>0</v>
      </c>
      <c r="K19" s="585" t="str">
        <f>IF(ISERROR('DA9'!$D$77),"0",'DA9'!$D$77)</f>
        <v>0</v>
      </c>
      <c r="L19" s="587" t="str">
        <f>IF(ISERROR('DA10'!$D$77),"0",'DA10'!$D$77)</f>
        <v>0</v>
      </c>
      <c r="M19" s="438" t="s">
        <v>296</v>
      </c>
      <c r="N19" s="454"/>
      <c r="O19" s="453"/>
      <c r="P19" s="453"/>
      <c r="Q19" s="453"/>
      <c r="R19" s="452"/>
      <c r="S19" s="454"/>
      <c r="T19" s="454"/>
      <c r="U19" s="454"/>
    </row>
    <row r="20" spans="1:21" s="439" customFormat="1" ht="15.75" hidden="1" x14ac:dyDescent="0.25">
      <c r="A20" s="454"/>
      <c r="B20" s="459" t="s">
        <v>251</v>
      </c>
      <c r="C20" s="585" t="str">
        <f>IF(ISERROR('DA1'!$H$10),"0",'DA1'!$H$10)</f>
        <v xml:space="preserve">  </v>
      </c>
      <c r="D20" s="585" t="str">
        <f>IF(ISERROR('DA2'!$H$10),"0",'DA2'!$H$10)</f>
        <v xml:space="preserve"> </v>
      </c>
      <c r="E20" s="585" t="str">
        <f>IF(ISERROR('DA3'!$H$10),"0",'DA3'!$H$10)</f>
        <v xml:space="preserve"> </v>
      </c>
      <c r="F20" s="585">
        <f>IF(ISERROR('DA4'!$H$10),"0",'DA4'!$H$10)</f>
        <v>0</v>
      </c>
      <c r="G20" s="585">
        <f>IF(ISERROR('DA5'!$H$10),"0",'DA5'!$H$10)</f>
        <v>0</v>
      </c>
      <c r="H20" s="585">
        <f>IF(ISERROR('DA6'!$H$10),"0",'DA6'!$H$10)</f>
        <v>0</v>
      </c>
      <c r="I20" s="585">
        <f>IF(ISERROR('DA7'!$H$10),"0",'DA7'!$H$10)</f>
        <v>0</v>
      </c>
      <c r="J20" s="585">
        <f>IF(ISERROR('DA8'!$H$10),"0",'DA8'!$H$10)</f>
        <v>0</v>
      </c>
      <c r="K20" s="585">
        <f>IF(ISERROR('DA9'!$H$10),"0",'DA9'!$H$10)</f>
        <v>0</v>
      </c>
      <c r="L20" s="587">
        <f>IF(ISERROR('DA10'!$H$10),"0",'DA10'!$H$10)</f>
        <v>0</v>
      </c>
      <c r="M20" s="440" t="s">
        <v>296</v>
      </c>
      <c r="N20" s="454"/>
      <c r="O20" s="453"/>
      <c r="P20" s="453"/>
      <c r="Q20" s="453"/>
      <c r="R20" s="452"/>
      <c r="S20" s="454"/>
      <c r="T20" s="454"/>
      <c r="U20" s="454"/>
    </row>
    <row r="21" spans="1:21" ht="24.95" customHeight="1" x14ac:dyDescent="0.2">
      <c r="B21" s="583" t="s">
        <v>424</v>
      </c>
      <c r="C21" s="585" t="str">
        <f>IF(ISERROR('DA1'!$H$82),"",'DA1'!$H$82)</f>
        <v/>
      </c>
      <c r="D21" s="585" t="str">
        <f>IF(ISERROR('DA2'!$H$82),"",'DA2'!$H$82)</f>
        <v/>
      </c>
      <c r="E21" s="585" t="str">
        <f>IF(ISERROR('DA3'!$H$82),"",'DA3'!$H$82)</f>
        <v/>
      </c>
      <c r="F21" s="585" t="str">
        <f>IF(ISERROR('DA4'!$H$82),"",'DA4'!$H$82)</f>
        <v/>
      </c>
      <c r="G21" s="585" t="str">
        <f>IF(ISERROR('DA5'!$H$82),"",'DA5'!$H$82)</f>
        <v/>
      </c>
      <c r="H21" s="585" t="str">
        <f>IF(ISERROR('DA6'!$H$82),"",'DA6'!$H$82)</f>
        <v/>
      </c>
      <c r="I21" s="585" t="str">
        <f>IF(ISERROR('DA7'!$H$82),"",'DA7'!$H$82)</f>
        <v/>
      </c>
      <c r="J21" s="585" t="str">
        <f>IF(ISERROR('DA8'!$H$82),"",'DA8'!$H$82)</f>
        <v/>
      </c>
      <c r="K21" s="585" t="str">
        <f>IF(ISERROR('DA9'!$H$82),"",'DA9'!$H$82)</f>
        <v/>
      </c>
      <c r="L21" s="587" t="str">
        <f>IF(ISERROR('DA10'!$H$82),"",'DA10'!$H$82)</f>
        <v/>
      </c>
      <c r="M21" s="320"/>
      <c r="N21" s="59"/>
      <c r="O21" s="60"/>
      <c r="P21" s="60"/>
      <c r="Q21" s="60"/>
      <c r="R21" s="242"/>
    </row>
    <row r="22" spans="1:21" ht="24.95" customHeight="1" x14ac:dyDescent="0.2">
      <c r="B22" s="583" t="s">
        <v>204</v>
      </c>
      <c r="C22" s="410" t="str">
        <f>IF(ISERROR('DA1'!$H$85),"",'DA1'!$H$85)</f>
        <v/>
      </c>
      <c r="D22" s="410" t="str">
        <f>IF(ISERROR('DA2'!$H$85),"",'DA2'!$H$85)</f>
        <v/>
      </c>
      <c r="E22" s="410" t="str">
        <f>IF(ISERROR('DA3'!$H$85),"",'DA3'!$H$85)</f>
        <v/>
      </c>
      <c r="F22" s="410" t="str">
        <f>IF(ISERROR('DA4'!$H$85),"",'DA4'!$H$85)</f>
        <v/>
      </c>
      <c r="G22" s="410" t="str">
        <f>IF(ISERROR('DA5'!$H$85),"",'DA5'!$H$85)</f>
        <v/>
      </c>
      <c r="H22" s="410" t="str">
        <f>IF(ISERROR('DA6'!$H$85),"",'DA6'!$H$85)</f>
        <v/>
      </c>
      <c r="I22" s="410" t="str">
        <f>IF(ISERROR('DA7'!$H$85),"",'DA7'!$H$85)</f>
        <v/>
      </c>
      <c r="J22" s="410" t="str">
        <f>IF(ISERROR('DA8'!$H$85),"",'DA8'!$H$85)</f>
        <v/>
      </c>
      <c r="K22" s="410" t="str">
        <f>IF(ISERROR('DA9'!$H$85),"",'DA9'!$H$85)</f>
        <v/>
      </c>
      <c r="L22" s="617" t="str">
        <f>IF(ISERROR('DA10'!$H$85),"",'DA10'!$H$85)</f>
        <v/>
      </c>
      <c r="M22" s="320"/>
      <c r="N22" s="60"/>
      <c r="O22" s="60"/>
      <c r="P22" s="60"/>
      <c r="Q22" s="60"/>
      <c r="R22" s="60"/>
    </row>
    <row r="23" spans="1:21" ht="24.95" customHeight="1" x14ac:dyDescent="0.2">
      <c r="B23" s="460" t="s">
        <v>577</v>
      </c>
      <c r="C23" s="323" t="str">
        <f>IF(ISERROR('DA1'!$D$84),"",'DA1'!$D$84)</f>
        <v/>
      </c>
      <c r="D23" s="323" t="str">
        <f>IF(ISERROR('DA2'!$D$84),"",'DA2'!$D$84)</f>
        <v/>
      </c>
      <c r="E23" s="323" t="str">
        <f>IF(ISERROR('DA3'!$D$84),"",'DA3'!$D$84)</f>
        <v/>
      </c>
      <c r="F23" s="323" t="str">
        <f>IF(ISERROR('DA4'!$D$84),"",'DA4'!$D$84)</f>
        <v/>
      </c>
      <c r="G23" s="323" t="str">
        <f>IF(ISERROR('DA5'!$D$84),"",'DA5'!$D$84)</f>
        <v/>
      </c>
      <c r="H23" s="323" t="str">
        <f>IF(ISERROR('DA6'!$D$84),"",'DA6'!$D$84)</f>
        <v/>
      </c>
      <c r="I23" s="323" t="str">
        <f>IF(ISERROR('DA7'!$D$84),"",'DA7'!$D$84)</f>
        <v/>
      </c>
      <c r="J23" s="323" t="str">
        <f>IF(ISERROR('DA8'!$D$84),"",'DA8'!$D$84)</f>
        <v/>
      </c>
      <c r="K23" s="323" t="str">
        <f>IF(ISERROR('DA9'!$D$84),"",'DA9'!$D$84)</f>
        <v/>
      </c>
      <c r="L23" s="618" t="str">
        <f>IF(ISERROR('DA10'!$D$84),"",'DA10'!$D$84)</f>
        <v/>
      </c>
      <c r="M23" s="320"/>
      <c r="N23" s="59"/>
      <c r="O23" s="60"/>
      <c r="P23" s="60"/>
      <c r="Q23" s="60"/>
      <c r="R23" s="242"/>
    </row>
    <row r="24" spans="1:21" ht="33" x14ac:dyDescent="0.2">
      <c r="B24" s="461" t="s">
        <v>737</v>
      </c>
      <c r="C24" s="323" t="e">
        <f>IF($G$35="High",('DA1'!$D$80),"NA")</f>
        <v>#DIV/0!</v>
      </c>
      <c r="D24" s="323" t="e">
        <f>IF($G$35="High",('DA2'!$D$80),"NA")</f>
        <v>#DIV/0!</v>
      </c>
      <c r="E24" s="323" t="e">
        <f>IF($G$35="High",('DA3'!$D$80),"NA")</f>
        <v>#DIV/0!</v>
      </c>
      <c r="F24" s="323" t="e">
        <f>IF($G$35="High",('DA4'!$D$80),"NA")</f>
        <v>#DIV/0!</v>
      </c>
      <c r="G24" s="323" t="e">
        <f>IF($G$35="High",('DA5'!$D$80),"NA")</f>
        <v>#DIV/0!</v>
      </c>
      <c r="H24" s="323" t="e">
        <f>IF($G$35="High",('DA6'!$D$80),"NA")</f>
        <v>#DIV/0!</v>
      </c>
      <c r="I24" s="323" t="e">
        <f>IF($G$35="High",('DA7'!$D$80),"NA")</f>
        <v>#DIV/0!</v>
      </c>
      <c r="J24" s="323" t="e">
        <f>IF($G$35="High",('DA8'!$D$80),"NA")</f>
        <v>#DIV/0!</v>
      </c>
      <c r="K24" s="323" t="e">
        <f>IF($G$35="High",('DA9'!$D$80),"NA")</f>
        <v>#DIV/0!</v>
      </c>
      <c r="L24" s="618" t="e">
        <f>IF($G$35="High",('DA10'!$D$80),"NA")</f>
        <v>#DIV/0!</v>
      </c>
      <c r="M24" s="320"/>
      <c r="N24" s="59"/>
      <c r="O24" s="60"/>
      <c r="P24" s="60"/>
      <c r="Q24" s="60"/>
      <c r="R24" s="242"/>
    </row>
    <row r="25" spans="1:21" s="306" customFormat="1" ht="24.95" customHeight="1" x14ac:dyDescent="0.2">
      <c r="A25" s="164"/>
      <c r="B25" s="953" t="s">
        <v>292</v>
      </c>
      <c r="C25" s="954"/>
      <c r="D25" s="954"/>
      <c r="E25" s="954"/>
      <c r="F25" s="954"/>
      <c r="G25" s="954"/>
      <c r="H25" s="954"/>
      <c r="I25" s="954"/>
      <c r="J25" s="954"/>
      <c r="K25" s="954"/>
      <c r="L25" s="955"/>
      <c r="M25" s="324"/>
      <c r="N25" s="164"/>
      <c r="O25" s="164"/>
      <c r="P25" s="164"/>
      <c r="Q25" s="164"/>
      <c r="R25" s="164"/>
      <c r="S25" s="164"/>
      <c r="T25" s="164"/>
      <c r="U25" s="164"/>
    </row>
    <row r="26" spans="1:21" s="306" customFormat="1" ht="24.95" customHeight="1" x14ac:dyDescent="0.2">
      <c r="A26" s="164"/>
      <c r="B26" s="956" t="s">
        <v>197</v>
      </c>
      <c r="C26" s="900"/>
      <c r="D26" s="900"/>
      <c r="E26" s="900"/>
      <c r="F26" s="900"/>
      <c r="G26" s="900"/>
      <c r="H26" s="900"/>
      <c r="I26" s="900"/>
      <c r="J26" s="900"/>
      <c r="K26" s="900"/>
      <c r="L26" s="901"/>
      <c r="M26" s="324"/>
      <c r="N26" s="164"/>
      <c r="O26" s="164"/>
      <c r="P26" s="164"/>
      <c r="Q26" s="164"/>
      <c r="R26" s="164"/>
      <c r="S26" s="164"/>
      <c r="T26" s="164"/>
      <c r="U26" s="164"/>
    </row>
    <row r="27" spans="1:21" s="327" customFormat="1" ht="24.95" customHeight="1" x14ac:dyDescent="0.2">
      <c r="A27" s="326"/>
      <c r="B27" s="988" t="s">
        <v>180</v>
      </c>
      <c r="C27" s="989"/>
      <c r="D27" s="989"/>
      <c r="E27" s="989"/>
      <c r="F27" s="989"/>
      <c r="G27" s="989"/>
      <c r="H27" s="989"/>
      <c r="I27" s="989"/>
      <c r="J27" s="989"/>
      <c r="K27" s="989"/>
      <c r="L27" s="990"/>
      <c r="M27" s="325"/>
      <c r="N27" s="326"/>
      <c r="O27" s="326"/>
      <c r="P27" s="326"/>
      <c r="Q27" s="326"/>
      <c r="R27" s="326"/>
      <c r="S27" s="326"/>
      <c r="T27" s="326"/>
      <c r="U27" s="326"/>
    </row>
    <row r="28" spans="1:21" s="327" customFormat="1" ht="24.95" customHeight="1" x14ac:dyDescent="0.2">
      <c r="A28" s="326"/>
      <c r="B28" s="994" t="s">
        <v>167</v>
      </c>
      <c r="C28" s="995"/>
      <c r="D28" s="995"/>
      <c r="E28" s="995"/>
      <c r="F28" s="946" t="s">
        <v>28</v>
      </c>
      <c r="G28" s="946"/>
      <c r="H28" s="946" t="s">
        <v>10</v>
      </c>
      <c r="I28" s="946"/>
      <c r="J28" s="997" t="s">
        <v>29</v>
      </c>
      <c r="K28" s="997"/>
      <c r="L28" s="998"/>
      <c r="M28" s="325"/>
      <c r="N28" s="326"/>
      <c r="O28" s="326"/>
      <c r="P28" s="326"/>
      <c r="Q28" s="326"/>
      <c r="R28" s="326"/>
      <c r="S28" s="326"/>
      <c r="T28" s="326"/>
      <c r="U28" s="326"/>
    </row>
    <row r="29" spans="1:21" s="327" customFormat="1" ht="24.95" customHeight="1" x14ac:dyDescent="0.2">
      <c r="A29" s="326"/>
      <c r="B29" s="996" t="s">
        <v>15</v>
      </c>
      <c r="C29" s="910"/>
      <c r="D29" s="910"/>
      <c r="E29" s="910"/>
      <c r="F29" s="910">
        <f>SUM('DA1:DA10'!$H$17:$H$26)</f>
        <v>0</v>
      </c>
      <c r="G29" s="910"/>
      <c r="H29" s="947" t="str">
        <f>IF(ISERROR(F29/$G$33),"",(F29/$G$33))</f>
        <v/>
      </c>
      <c r="I29" s="947"/>
      <c r="J29" s="938" t="e">
        <f>IF($G$35="Ultra-Low",$E$95,IF($G$35="Low",$E$96,IF($G$35="High","N/A")))</f>
        <v>#DIV/0!</v>
      </c>
      <c r="K29" s="938"/>
      <c r="L29" s="939"/>
      <c r="M29" s="328" t="s">
        <v>195</v>
      </c>
      <c r="N29" s="326"/>
      <c r="O29" s="326"/>
      <c r="P29" s="326"/>
      <c r="Q29" s="326"/>
      <c r="R29" s="326"/>
      <c r="S29" s="326"/>
      <c r="T29" s="326"/>
      <c r="U29" s="326"/>
    </row>
    <row r="30" spans="1:21" s="327" customFormat="1" ht="24.95" customHeight="1" x14ac:dyDescent="0.2">
      <c r="A30" s="326"/>
      <c r="B30" s="996" t="s">
        <v>16</v>
      </c>
      <c r="C30" s="910"/>
      <c r="D30" s="910"/>
      <c r="E30" s="910"/>
      <c r="F30" s="910">
        <f>SUM('DA1:DA10'!$I$17:$I$26)</f>
        <v>0</v>
      </c>
      <c r="G30" s="910"/>
      <c r="H30" s="947" t="str">
        <f>IF(ISERROR(F30/$G$33),"",(F30/$G$33))</f>
        <v/>
      </c>
      <c r="I30" s="947"/>
      <c r="J30" s="938" t="e">
        <f>IF($G$35="Ultra-Low",$G$95,IF($G$35="Low",$G$96,IF($G$35="High","N/A")))</f>
        <v>#DIV/0!</v>
      </c>
      <c r="K30" s="938"/>
      <c r="L30" s="939"/>
      <c r="M30" s="325"/>
      <c r="N30" s="326"/>
      <c r="O30" s="326"/>
      <c r="P30" s="326"/>
      <c r="Q30" s="326"/>
      <c r="R30" s="326"/>
      <c r="S30" s="326"/>
      <c r="T30" s="326"/>
      <c r="U30" s="326"/>
    </row>
    <row r="31" spans="1:21" s="327" customFormat="1" ht="24.95" customHeight="1" x14ac:dyDescent="0.2">
      <c r="A31" s="326"/>
      <c r="B31" s="996" t="s">
        <v>18</v>
      </c>
      <c r="C31" s="910"/>
      <c r="D31" s="910"/>
      <c r="E31" s="910"/>
      <c r="F31" s="910">
        <f>SUM('DA1:DA10'!$J$17:$J$26)</f>
        <v>0</v>
      </c>
      <c r="G31" s="910"/>
      <c r="H31" s="947" t="str">
        <f>IF(ISERROR(F31/$G$33),"",(F31/$G$33))</f>
        <v/>
      </c>
      <c r="I31" s="947"/>
      <c r="J31" s="938" t="e">
        <f>IF($G$35="Ultra-Low",$I$95,IF($G$35="Low",$I$96,IF($G$35="High","N/A")))</f>
        <v>#DIV/0!</v>
      </c>
      <c r="K31" s="938"/>
      <c r="L31" s="939"/>
      <c r="M31" s="325"/>
      <c r="N31" s="326"/>
      <c r="O31" s="326"/>
      <c r="P31" s="326"/>
      <c r="Q31" s="326"/>
      <c r="R31" s="326"/>
      <c r="S31" s="326"/>
      <c r="T31" s="326"/>
      <c r="U31" s="326"/>
    </row>
    <row r="32" spans="1:21" s="327" customFormat="1" ht="24.95" customHeight="1" x14ac:dyDescent="0.25">
      <c r="A32" s="326"/>
      <c r="B32" s="996" t="s">
        <v>17</v>
      </c>
      <c r="C32" s="910"/>
      <c r="D32" s="910"/>
      <c r="E32" s="910"/>
      <c r="F32" s="910">
        <f>SUM('DA1:DA10'!$K$17:$K$26)</f>
        <v>0</v>
      </c>
      <c r="G32" s="910"/>
      <c r="H32" s="947" t="str">
        <f>IF(ISERROR(F32/$G$33),"",(F32/$G$33))</f>
        <v/>
      </c>
      <c r="I32" s="947"/>
      <c r="J32" s="938" t="e">
        <f>IF($G$35="Ultra-Low",$K$95,IF($G$35="Low",$K$96,IF($G$35="High","N/A")))</f>
        <v>#DIV/0!</v>
      </c>
      <c r="K32" s="938"/>
      <c r="L32" s="939"/>
      <c r="M32" s="329" t="str">
        <f>IF(SUM(F29:G32)&gt;'SITE DATA'!F17,"DOES NOT MATCH SITE DATA INPUT","")</f>
        <v/>
      </c>
      <c r="N32" s="326"/>
      <c r="O32" s="326"/>
      <c r="P32" s="326"/>
      <c r="Q32" s="326"/>
      <c r="R32" s="326"/>
      <c r="S32" s="326"/>
      <c r="T32" s="326"/>
      <c r="U32" s="326"/>
    </row>
    <row r="33" spans="1:21" s="327" customFormat="1" ht="24.95" customHeight="1" x14ac:dyDescent="0.2">
      <c r="A33" s="326"/>
      <c r="B33" s="1004" t="s">
        <v>198</v>
      </c>
      <c r="C33" s="1005"/>
      <c r="D33" s="1005"/>
      <c r="E33" s="1005"/>
      <c r="F33" s="1005"/>
      <c r="G33" s="1006">
        <f>SUM(F29:G32)</f>
        <v>0</v>
      </c>
      <c r="H33" s="1006"/>
      <c r="I33" s="1006"/>
      <c r="J33" s="1006"/>
      <c r="K33" s="1006"/>
      <c r="L33" s="1007"/>
      <c r="M33" s="330" t="str">
        <f>IF($G$33&gt;'SITE DATA'!F17,"DOES NOT MATCH, MODIFY SITE DATA SHEET","")</f>
        <v/>
      </c>
      <c r="N33" s="326"/>
      <c r="O33" s="326"/>
      <c r="P33" s="326"/>
      <c r="Q33" s="326"/>
      <c r="R33" s="326"/>
      <c r="S33" s="326"/>
      <c r="T33" s="326"/>
      <c r="U33" s="326"/>
    </row>
    <row r="34" spans="1:21" s="327" customFormat="1" ht="24.95" customHeight="1" x14ac:dyDescent="0.2">
      <c r="A34" s="326"/>
      <c r="B34" s="948" t="s">
        <v>488</v>
      </c>
      <c r="C34" s="949"/>
      <c r="D34" s="949"/>
      <c r="E34" s="949"/>
      <c r="F34" s="949"/>
      <c r="G34" s="999" t="e">
        <f>ROUND((SUM(C17:L17))/(G33+SUM(C18:L18)),2)</f>
        <v>#DIV/0!</v>
      </c>
      <c r="H34" s="999"/>
      <c r="I34" s="999"/>
      <c r="J34" s="999"/>
      <c r="K34" s="999"/>
      <c r="L34" s="1000"/>
      <c r="M34" s="330" t="e">
        <f>IF($G$34&gt;'SITE DATA'!F22,"DOES NOT MATCH, MODIFY SITE DATA SHEET","")</f>
        <v>#DIV/0!</v>
      </c>
      <c r="N34" s="326"/>
      <c r="O34" s="326"/>
      <c r="P34" s="326"/>
      <c r="Q34" s="326"/>
      <c r="R34" s="326"/>
      <c r="S34" s="326"/>
      <c r="T34" s="326"/>
      <c r="U34" s="326"/>
    </row>
    <row r="35" spans="1:21" s="327" customFormat="1" ht="24.95" customHeight="1" x14ac:dyDescent="0.2">
      <c r="A35" s="326"/>
      <c r="B35" s="948" t="s">
        <v>199</v>
      </c>
      <c r="C35" s="949"/>
      <c r="D35" s="949"/>
      <c r="E35" s="949"/>
      <c r="F35" s="949"/>
      <c r="G35" s="950" t="e">
        <f>IF($G$34&lt;=15%,"Ultra-Low",IF($G$34&gt;=24%,"High","Low"))</f>
        <v>#DIV/0!</v>
      </c>
      <c r="H35" s="951"/>
      <c r="I35" s="951"/>
      <c r="J35" s="951"/>
      <c r="K35" s="951"/>
      <c r="L35" s="952"/>
      <c r="M35" s="330"/>
      <c r="N35" s="326"/>
      <c r="O35" s="326"/>
      <c r="P35" s="326"/>
      <c r="Q35" s="326"/>
      <c r="R35" s="326"/>
      <c r="S35" s="326"/>
      <c r="T35" s="326"/>
      <c r="U35" s="326"/>
    </row>
    <row r="36" spans="1:21" s="327" customFormat="1" ht="24.95" customHeight="1" x14ac:dyDescent="0.2">
      <c r="A36" s="326"/>
      <c r="B36" s="948" t="s">
        <v>203</v>
      </c>
      <c r="C36" s="949"/>
      <c r="D36" s="949"/>
      <c r="E36" s="949"/>
      <c r="F36" s="949"/>
      <c r="G36" s="938" t="e">
        <f>IF($G$35="High","N/A",ROUND(($H$29*$J$29)+($H$30*$J$30)+($H$31*$J$31)+($H$32*$J$32),0))</f>
        <v>#DIV/0!</v>
      </c>
      <c r="H36" s="938"/>
      <c r="I36" s="938"/>
      <c r="J36" s="938"/>
      <c r="K36" s="938"/>
      <c r="L36" s="939"/>
      <c r="M36" s="632" t="e">
        <f>IF(G36="N/A","Project is High Density, TCN Not Applicable","")</f>
        <v>#DIV/0!</v>
      </c>
      <c r="N36" s="326"/>
      <c r="O36" s="326"/>
      <c r="P36" s="326"/>
      <c r="Q36" s="326"/>
      <c r="R36" s="326"/>
      <c r="S36" s="326"/>
      <c r="T36" s="326"/>
      <c r="U36" s="326"/>
    </row>
    <row r="37" spans="1:21" s="327" customFormat="1" ht="24.95" hidden="1" customHeight="1" x14ac:dyDescent="0.2">
      <c r="A37" s="326"/>
      <c r="B37" s="948" t="s">
        <v>202</v>
      </c>
      <c r="C37" s="949"/>
      <c r="D37" s="949"/>
      <c r="E37" s="949"/>
      <c r="F37" s="949"/>
      <c r="G37" s="1001" t="str">
        <f>IF(ISERROR($C$80),"",($C$80))</f>
        <v/>
      </c>
      <c r="H37" s="1002"/>
      <c r="I37" s="1002"/>
      <c r="J37" s="1002"/>
      <c r="K37" s="1002"/>
      <c r="L37" s="1003"/>
      <c r="M37" s="332" t="s">
        <v>178</v>
      </c>
      <c r="N37" s="326"/>
      <c r="O37" s="326"/>
      <c r="P37" s="326"/>
      <c r="Q37" s="326"/>
      <c r="R37" s="326"/>
      <c r="S37" s="326"/>
      <c r="T37" s="326"/>
      <c r="U37" s="326"/>
    </row>
    <row r="38" spans="1:21" s="327" customFormat="1" ht="24.95" hidden="1" customHeight="1" x14ac:dyDescent="0.2">
      <c r="A38" s="326"/>
      <c r="B38" s="935" t="s">
        <v>200</v>
      </c>
      <c r="C38" s="771"/>
      <c r="D38" s="771"/>
      <c r="E38" s="771"/>
      <c r="F38" s="771"/>
      <c r="G38" s="938" t="e">
        <f>ROUND((C12*C13+D12*D13+E12*E13+F12*F13+G12*G13+H12*H13+I12*I13+J12*J13+K12*K13+L12*L13)/$G$33,0)</f>
        <v>#VALUE!</v>
      </c>
      <c r="H38" s="938"/>
      <c r="I38" s="938"/>
      <c r="J38" s="938"/>
      <c r="K38" s="938"/>
      <c r="L38" s="939"/>
      <c r="M38" s="325"/>
      <c r="N38" s="326"/>
      <c r="O38" s="326"/>
      <c r="P38" s="326"/>
      <c r="Q38" s="326"/>
      <c r="R38" s="326"/>
      <c r="S38" s="326"/>
      <c r="T38" s="326"/>
      <c r="U38" s="326"/>
    </row>
    <row r="39" spans="1:21" s="327" customFormat="1" ht="24.95" customHeight="1" x14ac:dyDescent="0.2">
      <c r="A39" s="326"/>
      <c r="B39" s="936" t="s">
        <v>403</v>
      </c>
      <c r="C39" s="937"/>
      <c r="D39" s="937"/>
      <c r="E39" s="937"/>
      <c r="F39" s="937"/>
      <c r="G39" s="938" t="e">
        <f>ROUND((C19*C20+D19*D20+E19*E20+F19*F20+G19*G20+H19*H20+I19*I20+J19*J20+K19*K20+L19*L20)/G33,0)</f>
        <v>#VALUE!</v>
      </c>
      <c r="H39" s="938"/>
      <c r="I39" s="938"/>
      <c r="J39" s="938"/>
      <c r="K39" s="938"/>
      <c r="L39" s="939"/>
      <c r="M39" s="333"/>
      <c r="N39" s="326"/>
      <c r="O39" s="326"/>
      <c r="P39" s="326"/>
      <c r="Q39" s="326"/>
      <c r="R39" s="326"/>
      <c r="S39" s="326"/>
      <c r="T39" s="326"/>
      <c r="U39" s="326"/>
    </row>
    <row r="40" spans="1:21" s="327" customFormat="1" ht="24.95" customHeight="1" x14ac:dyDescent="0.2">
      <c r="A40" s="326"/>
      <c r="B40" s="965" t="s">
        <v>252</v>
      </c>
      <c r="C40" s="966"/>
      <c r="D40" s="966"/>
      <c r="E40" s="966"/>
      <c r="F40" s="966"/>
      <c r="G40" s="967" t="e">
        <f>IF($G$39&gt;$G$36,(($C$86-$C$80)/12)*$G$33*43560,"N/A")</f>
        <v>#VALUE!</v>
      </c>
      <c r="H40" s="967" t="str">
        <f>IF(H39&gt;H36,((H38-H37)/12)*H34*43560,"No Peak Flow Requirements")</f>
        <v>No Peak Flow Requirements</v>
      </c>
      <c r="I40" s="967" t="str">
        <f>IF(I39&gt;I36,((I38-I37)/12)*I34*43560,"No Peak Flow Requirements")</f>
        <v>No Peak Flow Requirements</v>
      </c>
      <c r="J40" s="967" t="str">
        <f>IF(J39&gt;J36,((J38-J37)/12)*J34*43560,"No Peak Flow Requirements")</f>
        <v>No Peak Flow Requirements</v>
      </c>
      <c r="K40" s="967" t="str">
        <f>IF(K39&gt;K36,((K38-K37)/12)*K34*43560,"No Peak Flow Requirements")</f>
        <v>No Peak Flow Requirements</v>
      </c>
      <c r="L40" s="968" t="str">
        <f>IF(L39&gt;L36,((L38-L37)/12)*L34*43560,"No Peak Flow Requirements")</f>
        <v>No Peak Flow Requirements</v>
      </c>
      <c r="M40" s="632" t="e">
        <f>IF(G40="N/A","Project is High Density, TCN Not Applicable","")</f>
        <v>#VALUE!</v>
      </c>
      <c r="N40" s="326"/>
      <c r="O40" s="158"/>
      <c r="P40" s="326"/>
      <c r="Q40" s="326"/>
      <c r="R40" s="326"/>
      <c r="S40" s="326"/>
      <c r="T40" s="326"/>
      <c r="U40" s="326"/>
    </row>
    <row r="41" spans="1:21" s="306" customFormat="1" ht="24.95" customHeight="1" x14ac:dyDescent="0.2">
      <c r="A41" s="164"/>
      <c r="B41" s="956" t="s">
        <v>271</v>
      </c>
      <c r="C41" s="900"/>
      <c r="D41" s="900"/>
      <c r="E41" s="900"/>
      <c r="F41" s="900"/>
      <c r="G41" s="900"/>
      <c r="H41" s="900"/>
      <c r="I41" s="900"/>
      <c r="J41" s="900"/>
      <c r="K41" s="900"/>
      <c r="L41" s="901"/>
      <c r="M41" s="324"/>
      <c r="N41" s="164"/>
      <c r="O41" s="164"/>
      <c r="P41" s="164"/>
      <c r="Q41" s="164"/>
      <c r="R41" s="164"/>
      <c r="S41" s="164"/>
      <c r="T41" s="164"/>
      <c r="U41" s="164"/>
    </row>
    <row r="42" spans="1:21" s="327" customFormat="1" ht="46.5" customHeight="1" x14ac:dyDescent="0.2">
      <c r="A42" s="326"/>
      <c r="B42" s="921" t="s">
        <v>273</v>
      </c>
      <c r="C42" s="922"/>
      <c r="D42" s="923" t="s">
        <v>268</v>
      </c>
      <c r="E42" s="923"/>
      <c r="F42" s="923"/>
      <c r="G42" s="991" t="s">
        <v>272</v>
      </c>
      <c r="H42" s="992"/>
      <c r="I42" s="993"/>
      <c r="J42" s="961" t="s">
        <v>267</v>
      </c>
      <c r="K42" s="962"/>
      <c r="L42" s="963"/>
      <c r="M42" s="330"/>
      <c r="N42" s="326"/>
      <c r="O42" s="326"/>
      <c r="P42" s="326"/>
      <c r="Q42" s="326"/>
      <c r="R42" s="326"/>
      <c r="S42" s="326"/>
      <c r="T42" s="326"/>
      <c r="U42" s="326"/>
    </row>
    <row r="43" spans="1:21" s="327" customFormat="1" ht="24.95" customHeight="1" x14ac:dyDescent="0.2">
      <c r="A43" s="326"/>
      <c r="B43" s="957" t="s">
        <v>12</v>
      </c>
      <c r="C43" s="958"/>
      <c r="D43" s="924">
        <v>1.2</v>
      </c>
      <c r="E43" s="925"/>
      <c r="F43" s="926"/>
      <c r="G43" s="918">
        <f>SUM('DA1:DA10'!H17:K17)</f>
        <v>0</v>
      </c>
      <c r="H43" s="919"/>
      <c r="I43" s="920"/>
      <c r="J43" s="918">
        <f>D43*G43</f>
        <v>0</v>
      </c>
      <c r="K43" s="919"/>
      <c r="L43" s="964"/>
      <c r="M43" s="330"/>
      <c r="N43" s="326"/>
      <c r="O43" s="326"/>
      <c r="P43" s="326"/>
      <c r="Q43" s="326"/>
      <c r="R43" s="326"/>
      <c r="S43" s="326"/>
      <c r="T43" s="326"/>
      <c r="U43" s="326"/>
    </row>
    <row r="44" spans="1:21" s="327" customFormat="1" ht="24.95" customHeight="1" x14ac:dyDescent="0.2">
      <c r="A44" s="326"/>
      <c r="B44" s="957" t="s">
        <v>253</v>
      </c>
      <c r="C44" s="958"/>
      <c r="D44" s="924">
        <v>1.6</v>
      </c>
      <c r="E44" s="925"/>
      <c r="F44" s="926"/>
      <c r="G44" s="918">
        <f>SUM('DA1:DA10'!H18:K18)</f>
        <v>0</v>
      </c>
      <c r="H44" s="919"/>
      <c r="I44" s="920"/>
      <c r="J44" s="918">
        <f t="shared" ref="J44:J51" si="0">D44*G44</f>
        <v>0</v>
      </c>
      <c r="K44" s="919"/>
      <c r="L44" s="964"/>
      <c r="M44" s="325"/>
      <c r="N44" s="326"/>
      <c r="O44" s="326"/>
      <c r="P44" s="326"/>
      <c r="Q44" s="326"/>
      <c r="R44" s="326"/>
      <c r="S44" s="326"/>
      <c r="T44" s="326"/>
      <c r="U44" s="326"/>
    </row>
    <row r="45" spans="1:21" s="327" customFormat="1" ht="24.95" customHeight="1" x14ac:dyDescent="0.2">
      <c r="A45" s="326"/>
      <c r="B45" s="957" t="s">
        <v>260</v>
      </c>
      <c r="C45" s="958"/>
      <c r="D45" s="924">
        <v>1.2</v>
      </c>
      <c r="E45" s="925"/>
      <c r="F45" s="926"/>
      <c r="G45" s="918">
        <f>SUM('DA1:DA10'!H19:K19)</f>
        <v>0</v>
      </c>
      <c r="H45" s="919"/>
      <c r="I45" s="920"/>
      <c r="J45" s="918">
        <f t="shared" si="0"/>
        <v>0</v>
      </c>
      <c r="K45" s="919"/>
      <c r="L45" s="964"/>
      <c r="M45" s="325"/>
      <c r="N45" s="326"/>
      <c r="O45" s="326"/>
      <c r="P45" s="326"/>
      <c r="Q45" s="326"/>
      <c r="R45" s="326"/>
      <c r="S45" s="326"/>
      <c r="T45" s="326"/>
      <c r="U45" s="326"/>
    </row>
    <row r="46" spans="1:21" s="327" customFormat="1" ht="24.95" customHeight="1" x14ac:dyDescent="0.2">
      <c r="A46" s="326"/>
      <c r="B46" s="957" t="s">
        <v>254</v>
      </c>
      <c r="C46" s="958"/>
      <c r="D46" s="924">
        <v>0.8</v>
      </c>
      <c r="E46" s="925"/>
      <c r="F46" s="926"/>
      <c r="G46" s="918">
        <f>SUM('DA1:DA10'!H20:K20)</f>
        <v>0</v>
      </c>
      <c r="H46" s="919"/>
      <c r="I46" s="920"/>
      <c r="J46" s="918">
        <f t="shared" si="0"/>
        <v>0</v>
      </c>
      <c r="K46" s="919"/>
      <c r="L46" s="964"/>
      <c r="M46" s="333"/>
      <c r="N46" s="326"/>
      <c r="O46" s="326"/>
      <c r="P46" s="326"/>
      <c r="Q46" s="326"/>
      <c r="R46" s="326"/>
      <c r="S46" s="326"/>
      <c r="T46" s="326"/>
      <c r="U46" s="326"/>
    </row>
    <row r="47" spans="1:21" s="327" customFormat="1" ht="24.95" customHeight="1" x14ac:dyDescent="0.2">
      <c r="A47" s="326"/>
      <c r="B47" s="957" t="s">
        <v>255</v>
      </c>
      <c r="C47" s="958"/>
      <c r="D47" s="927">
        <v>1</v>
      </c>
      <c r="E47" s="928"/>
      <c r="F47" s="929"/>
      <c r="G47" s="918">
        <f>SUM('DA1:DA10'!H21:K21)</f>
        <v>0</v>
      </c>
      <c r="H47" s="919"/>
      <c r="I47" s="920"/>
      <c r="J47" s="918">
        <f>D47*G47</f>
        <v>0</v>
      </c>
      <c r="K47" s="919"/>
      <c r="L47" s="964"/>
      <c r="M47" s="330"/>
      <c r="N47" s="326"/>
      <c r="O47" s="158"/>
      <c r="P47" s="326"/>
      <c r="Q47" s="326"/>
      <c r="R47" s="326"/>
      <c r="S47" s="326"/>
      <c r="T47" s="326"/>
      <c r="U47" s="326"/>
    </row>
    <row r="48" spans="1:21" ht="24.95" customHeight="1" x14ac:dyDescent="0.2">
      <c r="B48" s="957" t="s">
        <v>256</v>
      </c>
      <c r="C48" s="958"/>
      <c r="D48" s="924">
        <v>0.8</v>
      </c>
      <c r="E48" s="925"/>
      <c r="F48" s="926"/>
      <c r="G48" s="918">
        <f>SUM('DA1:DA10'!H22:K22)</f>
        <v>0</v>
      </c>
      <c r="H48" s="919"/>
      <c r="I48" s="920"/>
      <c r="J48" s="918">
        <f t="shared" si="0"/>
        <v>0</v>
      </c>
      <c r="K48" s="919"/>
      <c r="L48" s="964"/>
      <c r="M48" s="331"/>
    </row>
    <row r="49" spans="1:21" ht="24.95" customHeight="1" x14ac:dyDescent="0.2">
      <c r="B49" s="957" t="s">
        <v>261</v>
      </c>
      <c r="C49" s="958"/>
      <c r="D49" s="924">
        <v>0.6</v>
      </c>
      <c r="E49" s="925"/>
      <c r="F49" s="926"/>
      <c r="G49" s="918">
        <f>SUM('DA1:DA10'!H23:K23)</f>
        <v>0</v>
      </c>
      <c r="H49" s="919"/>
      <c r="I49" s="920"/>
      <c r="J49" s="918">
        <f t="shared" si="0"/>
        <v>0</v>
      </c>
      <c r="K49" s="919"/>
      <c r="L49" s="964"/>
      <c r="M49" s="334"/>
    </row>
    <row r="50" spans="1:21" ht="24.95" customHeight="1" x14ac:dyDescent="0.2">
      <c r="B50" s="957" t="s">
        <v>245</v>
      </c>
      <c r="C50" s="958"/>
      <c r="D50" s="924">
        <v>0.6</v>
      </c>
      <c r="E50" s="925"/>
      <c r="F50" s="926"/>
      <c r="G50" s="918">
        <f>SUM('DA1:DA10'!H24:K24)</f>
        <v>0</v>
      </c>
      <c r="H50" s="919"/>
      <c r="I50" s="920"/>
      <c r="J50" s="918">
        <f t="shared" si="0"/>
        <v>0</v>
      </c>
      <c r="K50" s="919"/>
      <c r="L50" s="964"/>
      <c r="M50" s="334"/>
    </row>
    <row r="51" spans="1:21" ht="24.95" customHeight="1" x14ac:dyDescent="0.2">
      <c r="B51" s="959" t="s">
        <v>44</v>
      </c>
      <c r="C51" s="960"/>
      <c r="D51" s="930">
        <v>21.2</v>
      </c>
      <c r="E51" s="930"/>
      <c r="F51" s="930"/>
      <c r="G51" s="918">
        <f>SUM('DA1:DA10'!H25:K26)</f>
        <v>0</v>
      </c>
      <c r="H51" s="919"/>
      <c r="I51" s="920"/>
      <c r="J51" s="918">
        <f t="shared" si="0"/>
        <v>0</v>
      </c>
      <c r="K51" s="919"/>
      <c r="L51" s="964"/>
      <c r="M51" s="334"/>
    </row>
    <row r="52" spans="1:21" ht="24.95" customHeight="1" x14ac:dyDescent="0.2">
      <c r="B52" s="883" t="s">
        <v>288</v>
      </c>
      <c r="C52" s="884"/>
      <c r="D52" s="911" t="e">
        <f>IF('SITE DATA'!F24="Yes","NA",SUM(J43:J51)/SUM(G43:G51))</f>
        <v>#DIV/0!</v>
      </c>
      <c r="E52" s="911"/>
      <c r="F52" s="911"/>
      <c r="G52" s="911"/>
      <c r="H52" s="911"/>
      <c r="I52" s="911"/>
      <c r="J52" s="911"/>
      <c r="K52" s="911"/>
      <c r="L52" s="912"/>
      <c r="M52" s="334"/>
    </row>
    <row r="53" spans="1:21" ht="24.95" customHeight="1" x14ac:dyDescent="0.2">
      <c r="A53" s="507"/>
      <c r="B53" s="883" t="s">
        <v>512</v>
      </c>
      <c r="C53" s="884"/>
      <c r="D53" s="885">
        <f>SUM(J43:L51)</f>
        <v>0</v>
      </c>
      <c r="E53" s="886"/>
      <c r="F53" s="886"/>
      <c r="G53" s="886"/>
      <c r="H53" s="886"/>
      <c r="I53" s="886"/>
      <c r="J53" s="886"/>
      <c r="K53" s="886"/>
      <c r="L53" s="887"/>
      <c r="M53" s="334"/>
      <c r="N53" s="507"/>
      <c r="O53" s="507"/>
      <c r="P53" s="507"/>
      <c r="Q53" s="507"/>
      <c r="R53" s="507"/>
      <c r="S53" s="507"/>
      <c r="T53" s="507"/>
      <c r="U53" s="507"/>
    </row>
    <row r="54" spans="1:21" ht="24.95" customHeight="1" x14ac:dyDescent="0.2">
      <c r="B54" s="977" t="s">
        <v>739</v>
      </c>
      <c r="C54" s="978"/>
      <c r="D54" s="913" t="e">
        <f>IF('SITE DATA'!F24="Yes","NA",IF(D52&lt;3.6,0,(D52-3.6)*SUM(G43:I51)))</f>
        <v>#DIV/0!</v>
      </c>
      <c r="E54" s="913"/>
      <c r="F54" s="913"/>
      <c r="G54" s="913"/>
      <c r="H54" s="913"/>
      <c r="I54" s="913"/>
      <c r="J54" s="913"/>
      <c r="K54" s="913"/>
      <c r="L54" s="914"/>
      <c r="M54" s="334"/>
    </row>
    <row r="55" spans="1:21" s="158" customFormat="1" ht="24.95" customHeight="1" x14ac:dyDescent="0.2">
      <c r="B55" s="975" t="s">
        <v>505</v>
      </c>
      <c r="C55" s="785"/>
      <c r="D55" s="785"/>
      <c r="E55" s="785"/>
      <c r="F55" s="785"/>
      <c r="G55" s="785"/>
      <c r="H55" s="785"/>
      <c r="I55" s="785"/>
      <c r="J55" s="785"/>
      <c r="K55" s="785"/>
      <c r="L55" s="976"/>
      <c r="M55" s="334"/>
    </row>
    <row r="56" spans="1:21" s="158" customFormat="1" ht="24.95" customHeight="1" x14ac:dyDescent="0.2">
      <c r="B56" s="462"/>
      <c r="C56" s="900" t="s">
        <v>507</v>
      </c>
      <c r="D56" s="900"/>
      <c r="E56" s="900"/>
      <c r="F56" s="900"/>
      <c r="G56" s="900"/>
      <c r="H56" s="900" t="s">
        <v>509</v>
      </c>
      <c r="I56" s="900"/>
      <c r="J56" s="900"/>
      <c r="K56" s="900"/>
      <c r="L56" s="901"/>
      <c r="M56" s="334"/>
    </row>
    <row r="57" spans="1:21" s="158" customFormat="1" ht="24.95" customHeight="1" x14ac:dyDescent="0.2">
      <c r="B57" s="582" t="s">
        <v>508</v>
      </c>
      <c r="C57" s="897">
        <f>IF('SITE DATA'!F24="No","NA",SUM('DA1:DA10'!D25:G26))</f>
        <v>0</v>
      </c>
      <c r="D57" s="897"/>
      <c r="E57" s="897"/>
      <c r="F57" s="897"/>
      <c r="G57" s="897"/>
      <c r="H57" s="897">
        <f>IF('SITE DATA'!F24="No","NA",SUM('DA1:DA10'!H25:K26)-C57)</f>
        <v>0</v>
      </c>
      <c r="I57" s="897"/>
      <c r="J57" s="897"/>
      <c r="K57" s="897"/>
      <c r="L57" s="899"/>
      <c r="M57" s="334"/>
    </row>
    <row r="58" spans="1:21" s="158" customFormat="1" ht="24.95" hidden="1" customHeight="1" x14ac:dyDescent="0.2">
      <c r="B58" s="463" t="s">
        <v>511</v>
      </c>
      <c r="C58" s="903" t="e">
        <f>C57/C59</f>
        <v>#DIV/0!</v>
      </c>
      <c r="D58" s="903"/>
      <c r="E58" s="903"/>
      <c r="F58" s="903"/>
      <c r="G58" s="903"/>
      <c r="H58" s="903" t="e">
        <f>H57/C59</f>
        <v>#DIV/0!</v>
      </c>
      <c r="I58" s="903"/>
      <c r="J58" s="903"/>
      <c r="K58" s="903"/>
      <c r="L58" s="904"/>
      <c r="M58" s="334"/>
    </row>
    <row r="59" spans="1:21" s="158" customFormat="1" ht="24.95" hidden="1" customHeight="1" x14ac:dyDescent="0.2">
      <c r="B59" s="572" t="s">
        <v>506</v>
      </c>
      <c r="C59" s="897">
        <f>SUM(C57:L57)</f>
        <v>0</v>
      </c>
      <c r="D59" s="897"/>
      <c r="E59" s="897"/>
      <c r="F59" s="897"/>
      <c r="G59" s="897"/>
      <c r="H59" s="897"/>
      <c r="I59" s="897"/>
      <c r="J59" s="897"/>
      <c r="K59" s="897"/>
      <c r="L59" s="899"/>
      <c r="M59" s="334"/>
    </row>
    <row r="60" spans="1:21" s="158" customFormat="1" ht="24.95" hidden="1" customHeight="1" x14ac:dyDescent="0.2">
      <c r="B60" s="572" t="s">
        <v>510</v>
      </c>
      <c r="C60" s="897">
        <f>G33-C59</f>
        <v>0</v>
      </c>
      <c r="D60" s="897"/>
      <c r="E60" s="897"/>
      <c r="F60" s="897"/>
      <c r="G60" s="897"/>
      <c r="H60" s="897"/>
      <c r="I60" s="897"/>
      <c r="J60" s="897"/>
      <c r="K60" s="897"/>
      <c r="L60" s="899"/>
      <c r="M60" s="334"/>
    </row>
    <row r="61" spans="1:21" s="455" customFormat="1" ht="24.95" customHeight="1" x14ac:dyDescent="0.2">
      <c r="A61" s="158"/>
      <c r="B61" s="588" t="s">
        <v>524</v>
      </c>
      <c r="C61" s="890" t="e">
        <f>H57+(H58*C60)</f>
        <v>#DIV/0!</v>
      </c>
      <c r="D61" s="890"/>
      <c r="E61" s="890"/>
      <c r="F61" s="890"/>
      <c r="G61" s="890"/>
      <c r="H61" s="890"/>
      <c r="I61" s="890"/>
      <c r="J61" s="890"/>
      <c r="K61" s="890"/>
      <c r="L61" s="891"/>
      <c r="M61" s="334"/>
    </row>
    <row r="62" spans="1:21" ht="24.95" customHeight="1" x14ac:dyDescent="0.2">
      <c r="B62" s="588" t="s">
        <v>512</v>
      </c>
      <c r="C62" s="892" t="e">
        <f>IF('SITE DATA'!F24="No","NA",(C57*$D$51)+($G$43*C58*$D$43)+($G$44*C58*$D$44)+($G$45*C58*$D$45)+($G$46*C58*$D$46)+($G$47*C58*$D$47)+($G$48*C58*$D$48)+($G$49*C58*$D$49)+($G$50*C58*$D$50))</f>
        <v>#DIV/0!</v>
      </c>
      <c r="D62" s="893"/>
      <c r="E62" s="893"/>
      <c r="F62" s="893"/>
      <c r="G62" s="894"/>
      <c r="H62" s="895" t="e">
        <f>IF('SITE DATA'!F24="No","NA",(H57*$D$51)+($G$43*H58*$D$43)+($G$44*H58*$D$44)+($G$45*H58*$D$45)+($G$46*H58*$D$46)+($G$47*H58*$D$47)+($G$48*H58*$D$48)+($G$49*H58*$D$49)+($G$50*H58*$D$50))</f>
        <v>#DIV/0!</v>
      </c>
      <c r="I62" s="893"/>
      <c r="J62" s="893"/>
      <c r="K62" s="893"/>
      <c r="L62" s="896"/>
      <c r="M62" s="334"/>
      <c r="N62" s="507"/>
      <c r="O62" s="161"/>
      <c r="P62" s="161"/>
      <c r="Q62" s="161"/>
      <c r="R62" s="161"/>
      <c r="S62" s="161"/>
      <c r="T62" s="161"/>
      <c r="U62" s="161"/>
    </row>
    <row r="63" spans="1:21" ht="24.95" customHeight="1" x14ac:dyDescent="0.2">
      <c r="B63" s="588" t="s">
        <v>288</v>
      </c>
      <c r="C63" s="897" t="e">
        <f>IF('SITE DATA'!F24="No","NA",C62/(SUM(G43:I51)))</f>
        <v>#DIV/0!</v>
      </c>
      <c r="D63" s="898"/>
      <c r="E63" s="898"/>
      <c r="F63" s="898"/>
      <c r="G63" s="898"/>
      <c r="H63" s="897" t="e">
        <f>IF('SITE DATA'!F24="No","NA",H62/(SUM(G43:I51)))</f>
        <v>#DIV/0!</v>
      </c>
      <c r="I63" s="898"/>
      <c r="J63" s="898"/>
      <c r="K63" s="898"/>
      <c r="L63" s="902"/>
      <c r="M63" s="334"/>
    </row>
    <row r="64" spans="1:21" s="455" customFormat="1" ht="24.95" customHeight="1" x14ac:dyDescent="0.2">
      <c r="A64" s="158"/>
      <c r="B64" s="588" t="s">
        <v>523</v>
      </c>
      <c r="C64" s="890" t="e">
        <f>C63+H63</f>
        <v>#DIV/0!</v>
      </c>
      <c r="D64" s="890"/>
      <c r="E64" s="890"/>
      <c r="F64" s="890"/>
      <c r="G64" s="890"/>
      <c r="H64" s="890"/>
      <c r="I64" s="890"/>
      <c r="J64" s="890"/>
      <c r="K64" s="890"/>
      <c r="L64" s="891"/>
      <c r="M64" s="334"/>
    </row>
    <row r="65" spans="1:17" s="455" customFormat="1" ht="24.95" customHeight="1" thickBot="1" x14ac:dyDescent="0.25">
      <c r="A65" s="158"/>
      <c r="B65" s="464" t="s">
        <v>275</v>
      </c>
      <c r="C65" s="888" t="e">
        <f>IF('SITE DATA'!F24="No","NA",IF(C64&lt;3.6,0,(C64-3.6)*C61))</f>
        <v>#DIV/0!</v>
      </c>
      <c r="D65" s="888"/>
      <c r="E65" s="888"/>
      <c r="F65" s="888"/>
      <c r="G65" s="888"/>
      <c r="H65" s="888"/>
      <c r="I65" s="888"/>
      <c r="J65" s="888"/>
      <c r="K65" s="888"/>
      <c r="L65" s="889"/>
      <c r="M65" s="334"/>
    </row>
    <row r="66" spans="1:17" s="158" customFormat="1" x14ac:dyDescent="0.2"/>
    <row r="67" spans="1:17" s="158" customFormat="1" hidden="1" x14ac:dyDescent="0.2">
      <c r="B67" s="164"/>
      <c r="C67" s="164"/>
      <c r="D67" s="164"/>
      <c r="E67" s="164"/>
      <c r="F67" s="448"/>
      <c r="G67" s="164"/>
      <c r="H67" s="164"/>
      <c r="I67" s="164"/>
      <c r="J67" s="164"/>
      <c r="K67" s="164"/>
      <c r="L67" s="164"/>
    </row>
    <row r="68" spans="1:17" s="456" customFormat="1" ht="15.75" hidden="1" x14ac:dyDescent="0.25">
      <c r="A68" s="158"/>
      <c r="B68" s="313" t="s">
        <v>126</v>
      </c>
    </row>
    <row r="69" spans="1:17" s="158" customFormat="1" ht="16.5" hidden="1" thickBot="1" x14ac:dyDescent="0.25">
      <c r="B69" s="335"/>
    </row>
    <row r="70" spans="1:17" s="158" customFormat="1" ht="18" hidden="1" x14ac:dyDescent="0.2">
      <c r="B70" s="916" t="s">
        <v>39</v>
      </c>
      <c r="C70" s="917"/>
      <c r="D70" s="336"/>
      <c r="G70" s="1008" t="s">
        <v>517</v>
      </c>
      <c r="H70" s="900"/>
      <c r="I70" s="900"/>
      <c r="J70" s="900"/>
      <c r="K70" s="900"/>
      <c r="L70" s="900"/>
      <c r="M70" s="900"/>
      <c r="N70" s="900"/>
      <c r="O70" s="900"/>
      <c r="P70" s="900"/>
      <c r="Q70" s="1009"/>
    </row>
    <row r="71" spans="1:17" s="158" customFormat="1" ht="31.5" hidden="1" customHeight="1" x14ac:dyDescent="0.2">
      <c r="B71" s="64"/>
      <c r="C71" s="65"/>
      <c r="D71" s="221"/>
      <c r="G71" s="1010" t="s">
        <v>273</v>
      </c>
      <c r="H71" s="922"/>
      <c r="I71" s="923" t="s">
        <v>268</v>
      </c>
      <c r="J71" s="923"/>
      <c r="K71" s="923"/>
      <c r="L71" s="991" t="s">
        <v>272</v>
      </c>
      <c r="M71" s="992"/>
      <c r="N71" s="993"/>
      <c r="O71" s="961" t="s">
        <v>267</v>
      </c>
      <c r="P71" s="962"/>
      <c r="Q71" s="1011"/>
    </row>
    <row r="72" spans="1:17" s="158" customFormat="1" hidden="1" x14ac:dyDescent="0.2">
      <c r="B72" s="863" t="s">
        <v>40</v>
      </c>
      <c r="C72" s="915"/>
      <c r="D72" s="221"/>
      <c r="G72" s="1012" t="s">
        <v>12</v>
      </c>
      <c r="H72" s="958"/>
      <c r="I72" s="924">
        <v>1.2</v>
      </c>
      <c r="J72" s="925"/>
      <c r="K72" s="926"/>
      <c r="L72" s="918">
        <f>SUM('DA1:DA10'!C17:F17)</f>
        <v>0</v>
      </c>
      <c r="M72" s="919"/>
      <c r="N72" s="920"/>
      <c r="O72" s="918">
        <f>I72*L72</f>
        <v>0</v>
      </c>
      <c r="P72" s="919"/>
      <c r="Q72" s="1013"/>
    </row>
    <row r="73" spans="1:17" s="158" customFormat="1" hidden="1" x14ac:dyDescent="0.2">
      <c r="B73" s="863" t="s">
        <v>22</v>
      </c>
      <c r="C73" s="915"/>
      <c r="D73" s="221"/>
      <c r="G73" s="1012" t="s">
        <v>253</v>
      </c>
      <c r="H73" s="958"/>
      <c r="I73" s="924">
        <v>1.6</v>
      </c>
      <c r="J73" s="925"/>
      <c r="K73" s="926"/>
      <c r="L73" s="918">
        <f>SUM('DA1:DA10'!C18:F18)</f>
        <v>0</v>
      </c>
      <c r="M73" s="919"/>
      <c r="N73" s="920"/>
      <c r="O73" s="918">
        <f>I73*L73</f>
        <v>0</v>
      </c>
      <c r="P73" s="919"/>
      <c r="Q73" s="1013"/>
    </row>
    <row r="74" spans="1:17" s="158" customFormat="1" hidden="1" x14ac:dyDescent="0.2">
      <c r="B74" s="183" t="s">
        <v>45</v>
      </c>
      <c r="C74" s="337"/>
      <c r="D74" s="221"/>
      <c r="G74" s="1012" t="s">
        <v>260</v>
      </c>
      <c r="H74" s="958"/>
      <c r="I74" s="924">
        <v>1.2</v>
      </c>
      <c r="J74" s="925"/>
      <c r="K74" s="926"/>
      <c r="L74" s="918">
        <f>SUM('DA1:DA10'!C19:F19)</f>
        <v>0</v>
      </c>
      <c r="M74" s="919"/>
      <c r="N74" s="920"/>
      <c r="O74" s="918">
        <f t="shared" ref="O74:O80" si="1">I74*L74</f>
        <v>0</v>
      </c>
      <c r="P74" s="919"/>
      <c r="Q74" s="1013"/>
    </row>
    <row r="75" spans="1:17" s="158" customFormat="1" hidden="1" x14ac:dyDescent="0.2">
      <c r="B75" s="183" t="s">
        <v>41</v>
      </c>
      <c r="C75" s="338"/>
      <c r="D75" s="221"/>
      <c r="G75" s="1012" t="s">
        <v>254</v>
      </c>
      <c r="H75" s="958"/>
      <c r="I75" s="924">
        <v>0.8</v>
      </c>
      <c r="J75" s="925"/>
      <c r="K75" s="926"/>
      <c r="L75" s="918">
        <f>SUM('DA1:DA10'!C20:F20)</f>
        <v>0</v>
      </c>
      <c r="M75" s="919"/>
      <c r="N75" s="920"/>
      <c r="O75" s="918">
        <f t="shared" si="1"/>
        <v>0</v>
      </c>
      <c r="P75" s="919"/>
      <c r="Q75" s="1013"/>
    </row>
    <row r="76" spans="1:17" s="158" customFormat="1" hidden="1" x14ac:dyDescent="0.2">
      <c r="B76" s="185"/>
      <c r="C76" s="337"/>
      <c r="D76" s="221"/>
      <c r="G76" s="1012" t="s">
        <v>255</v>
      </c>
      <c r="H76" s="958"/>
      <c r="I76" s="927">
        <v>1</v>
      </c>
      <c r="J76" s="928"/>
      <c r="K76" s="929"/>
      <c r="L76" s="918">
        <f>SUM('DA1:DA10'!C21:F21)</f>
        <v>0</v>
      </c>
      <c r="M76" s="919"/>
      <c r="N76" s="920"/>
      <c r="O76" s="918">
        <f t="shared" si="1"/>
        <v>0</v>
      </c>
      <c r="P76" s="919"/>
      <c r="Q76" s="1013"/>
    </row>
    <row r="77" spans="1:17" s="158" customFormat="1" hidden="1" x14ac:dyDescent="0.2">
      <c r="B77" s="186" t="s">
        <v>361</v>
      </c>
      <c r="C77" s="75"/>
      <c r="D77" s="221"/>
      <c r="G77" s="1012" t="s">
        <v>256</v>
      </c>
      <c r="H77" s="958"/>
      <c r="I77" s="924">
        <v>0.8</v>
      </c>
      <c r="J77" s="925"/>
      <c r="K77" s="926"/>
      <c r="L77" s="918">
        <f>SUM('DA1:DA10'!C22:F22)</f>
        <v>0</v>
      </c>
      <c r="M77" s="919"/>
      <c r="N77" s="920"/>
      <c r="O77" s="918">
        <f t="shared" si="1"/>
        <v>0</v>
      </c>
      <c r="P77" s="919"/>
      <c r="Q77" s="1013"/>
    </row>
    <row r="78" spans="1:17" s="158" customFormat="1" hidden="1" x14ac:dyDescent="0.2">
      <c r="B78" s="51" t="s">
        <v>20</v>
      </c>
      <c r="C78" s="339" t="s">
        <v>42</v>
      </c>
      <c r="D78" s="221"/>
      <c r="G78" s="1012" t="s">
        <v>261</v>
      </c>
      <c r="H78" s="958"/>
      <c r="I78" s="924">
        <v>0.6</v>
      </c>
      <c r="J78" s="925"/>
      <c r="K78" s="926"/>
      <c r="L78" s="918">
        <f>SUM('DA1:DA10'!C23:F23)</f>
        <v>0</v>
      </c>
      <c r="M78" s="919"/>
      <c r="N78" s="920"/>
      <c r="O78" s="918">
        <f t="shared" si="1"/>
        <v>0</v>
      </c>
      <c r="P78" s="919"/>
      <c r="Q78" s="1013"/>
    </row>
    <row r="79" spans="1:17" s="158" customFormat="1" hidden="1" x14ac:dyDescent="0.2">
      <c r="B79" s="51" t="s">
        <v>20</v>
      </c>
      <c r="C79" s="93" t="e">
        <f>(1000/$G$36)-10</f>
        <v>#DIV/0!</v>
      </c>
      <c r="D79" s="221"/>
      <c r="G79" s="1012" t="s">
        <v>245</v>
      </c>
      <c r="H79" s="958"/>
      <c r="I79" s="924">
        <v>0.6</v>
      </c>
      <c r="J79" s="925"/>
      <c r="K79" s="926"/>
      <c r="L79" s="918">
        <f>SUM('DA1:DA10'!C24:F24)</f>
        <v>0</v>
      </c>
      <c r="M79" s="919"/>
      <c r="N79" s="920"/>
      <c r="O79" s="918">
        <f t="shared" si="1"/>
        <v>0</v>
      </c>
      <c r="P79" s="919"/>
      <c r="Q79" s="1013"/>
    </row>
    <row r="80" spans="1:17" s="158" customFormat="1" ht="15.75" hidden="1" thickBot="1" x14ac:dyDescent="0.25">
      <c r="B80" s="188" t="s">
        <v>21</v>
      </c>
      <c r="C80" s="75" t="e">
        <f>('SITE DATA'!$F$26-(0.2*C79))^2/('SITE DATA'!$F$26+(0.8*C79))</f>
        <v>#DIV/0!</v>
      </c>
      <c r="D80" s="221"/>
      <c r="G80" s="1012" t="s">
        <v>44</v>
      </c>
      <c r="H80" s="958"/>
      <c r="I80" s="1014">
        <v>21.2</v>
      </c>
      <c r="J80" s="1014"/>
      <c r="K80" s="1014"/>
      <c r="L80" s="918">
        <f>SUM('DA1:DA10'!C25:F26)</f>
        <v>0</v>
      </c>
      <c r="M80" s="1015"/>
      <c r="N80" s="920"/>
      <c r="O80" s="918">
        <f t="shared" si="1"/>
        <v>0</v>
      </c>
      <c r="P80" s="919"/>
      <c r="Q80" s="1013"/>
    </row>
    <row r="81" spans="2:27" s="158" customFormat="1" ht="15.75" hidden="1" thickBot="1" x14ac:dyDescent="0.25">
      <c r="B81" s="340" t="s">
        <v>362</v>
      </c>
      <c r="C81" s="75"/>
      <c r="D81" s="221"/>
      <c r="M81" s="450">
        <f>SUM(L72:N80)</f>
        <v>0</v>
      </c>
      <c r="N81" s="158" t="s">
        <v>519</v>
      </c>
      <c r="O81" s="1016" t="e">
        <f>SUM(O72:Q80)/$M$81</f>
        <v>#DIV/0!</v>
      </c>
      <c r="P81" s="1017"/>
      <c r="Q81" s="1018"/>
      <c r="R81" s="451" t="s">
        <v>518</v>
      </c>
      <c r="S81" s="451"/>
      <c r="T81" s="451"/>
      <c r="U81" s="451"/>
      <c r="V81" s="451"/>
      <c r="W81" s="451"/>
      <c r="X81" s="156"/>
    </row>
    <row r="82" spans="2:27" s="158" customFormat="1" hidden="1" x14ac:dyDescent="0.2">
      <c r="B82" s="51" t="s">
        <v>20</v>
      </c>
      <c r="C82" s="93" t="e">
        <f>(1000/$G$38)-10</f>
        <v>#VALUE!</v>
      </c>
      <c r="D82" s="221"/>
    </row>
    <row r="83" spans="2:27" s="158" customFormat="1" hidden="1" x14ac:dyDescent="0.2">
      <c r="B83" s="188" t="s">
        <v>21</v>
      </c>
      <c r="C83" s="75" t="e">
        <f>('SITE DATA'!$F$26-(0.2*C82))^2/('SITE DATA'!$F$26+(0.8*C82))</f>
        <v>#VALUE!</v>
      </c>
      <c r="D83" s="221"/>
    </row>
    <row r="84" spans="2:27" s="158" customFormat="1" hidden="1" x14ac:dyDescent="0.2">
      <c r="B84" s="340" t="s">
        <v>363</v>
      </c>
      <c r="C84" s="75"/>
      <c r="D84" s="221"/>
    </row>
    <row r="85" spans="2:27" s="158" customFormat="1" hidden="1" x14ac:dyDescent="0.2">
      <c r="B85" s="51" t="s">
        <v>20</v>
      </c>
      <c r="C85" s="93" t="e">
        <f>(1000/$G$39)-10</f>
        <v>#VALUE!</v>
      </c>
      <c r="D85" s="221"/>
    </row>
    <row r="86" spans="2:27" s="158" customFormat="1" hidden="1" x14ac:dyDescent="0.2">
      <c r="B86" s="188" t="s">
        <v>21</v>
      </c>
      <c r="C86" s="75" t="e">
        <f>('SITE DATA'!$F$26-(0.2*C85))^2/('SITE DATA'!$F$26+(0.8*C85))</f>
        <v>#VALUE!</v>
      </c>
      <c r="D86" s="221"/>
    </row>
    <row r="87" spans="2:27" s="158" customFormat="1" hidden="1" x14ac:dyDescent="0.2">
      <c r="B87" s="340"/>
      <c r="C87" s="75"/>
      <c r="D87" s="221"/>
    </row>
    <row r="88" spans="2:27" s="158" customFormat="1" hidden="1" x14ac:dyDescent="0.2">
      <c r="B88" s="51"/>
      <c r="C88" s="93"/>
      <c r="D88" s="221"/>
    </row>
    <row r="89" spans="2:27" s="158" customFormat="1" hidden="1" x14ac:dyDescent="0.2">
      <c r="B89" s="188"/>
      <c r="C89" s="75"/>
      <c r="D89" s="221"/>
    </row>
    <row r="90" spans="2:27" s="158" customFormat="1" hidden="1" x14ac:dyDescent="0.2">
      <c r="B90" s="185"/>
      <c r="C90" s="337"/>
      <c r="D90" s="221"/>
    </row>
    <row r="91" spans="2:27" s="158" customFormat="1" ht="15.75" hidden="1" thickBot="1" x14ac:dyDescent="0.25">
      <c r="B91" s="341"/>
      <c r="C91" s="342"/>
      <c r="D91" s="222"/>
    </row>
    <row r="92" spans="2:27" s="158" customFormat="1" hidden="1" x14ac:dyDescent="0.2">
      <c r="B92" s="305"/>
      <c r="C92" s="190"/>
      <c r="F92" s="343"/>
      <c r="G92" s="343"/>
      <c r="H92" s="343"/>
      <c r="I92" s="343"/>
      <c r="J92" s="343"/>
      <c r="K92" s="343"/>
      <c r="L92" s="343"/>
      <c r="M92" s="344"/>
      <c r="V92" s="345"/>
      <c r="W92" s="346"/>
      <c r="X92" s="345"/>
      <c r="Y92" s="345"/>
      <c r="Z92" s="345"/>
      <c r="AA92" s="345"/>
    </row>
    <row r="93" spans="2:27" s="158" customFormat="1" ht="15.75" hidden="1" x14ac:dyDescent="0.2">
      <c r="B93" s="983" t="s">
        <v>179</v>
      </c>
      <c r="C93" s="984"/>
      <c r="D93" s="984"/>
      <c r="E93" s="984"/>
      <c r="F93" s="984"/>
      <c r="G93" s="984"/>
      <c r="H93" s="984"/>
      <c r="I93" s="984"/>
      <c r="J93" s="984"/>
      <c r="K93" s="984"/>
      <c r="L93" s="985"/>
    </row>
    <row r="94" spans="2:27" s="326" customFormat="1" ht="15.75" hidden="1" x14ac:dyDescent="0.25">
      <c r="B94" s="986" t="s">
        <v>23</v>
      </c>
      <c r="C94" s="987"/>
      <c r="D94" s="987"/>
      <c r="E94" s="969" t="s">
        <v>15</v>
      </c>
      <c r="F94" s="970"/>
      <c r="G94" s="969" t="s">
        <v>16</v>
      </c>
      <c r="H94" s="970"/>
      <c r="I94" s="969" t="s">
        <v>18</v>
      </c>
      <c r="J94" s="974"/>
      <c r="K94" s="969" t="s">
        <v>17</v>
      </c>
      <c r="L94" s="971"/>
      <c r="M94" s="347"/>
    </row>
    <row r="95" spans="2:27" s="326" customFormat="1" hidden="1" x14ac:dyDescent="0.2">
      <c r="B95" s="979" t="s">
        <v>24</v>
      </c>
      <c r="C95" s="980"/>
      <c r="D95" s="980"/>
      <c r="E95" s="906">
        <v>43</v>
      </c>
      <c r="F95" s="907"/>
      <c r="G95" s="906">
        <v>63</v>
      </c>
      <c r="H95" s="907"/>
      <c r="I95" s="906">
        <v>76</v>
      </c>
      <c r="J95" s="907"/>
      <c r="K95" s="906">
        <v>81</v>
      </c>
      <c r="L95" s="972"/>
      <c r="M95" s="347"/>
    </row>
    <row r="96" spans="2:27" s="326" customFormat="1" hidden="1" x14ac:dyDescent="0.2">
      <c r="B96" s="979" t="s">
        <v>25</v>
      </c>
      <c r="C96" s="980"/>
      <c r="D96" s="980"/>
      <c r="E96" s="906">
        <v>48</v>
      </c>
      <c r="F96" s="907"/>
      <c r="G96" s="906">
        <v>66</v>
      </c>
      <c r="H96" s="907"/>
      <c r="I96" s="906">
        <v>78</v>
      </c>
      <c r="J96" s="907"/>
      <c r="K96" s="906">
        <v>83</v>
      </c>
      <c r="L96" s="972"/>
      <c r="M96" s="347"/>
    </row>
    <row r="97" spans="2:27" s="326" customFormat="1" hidden="1" x14ac:dyDescent="0.2">
      <c r="B97" s="981" t="s">
        <v>26</v>
      </c>
      <c r="C97" s="982"/>
      <c r="D97" s="982"/>
      <c r="E97" s="908" t="s">
        <v>27</v>
      </c>
      <c r="F97" s="909"/>
      <c r="G97" s="908" t="s">
        <v>27</v>
      </c>
      <c r="H97" s="909"/>
      <c r="I97" s="908" t="s">
        <v>27</v>
      </c>
      <c r="J97" s="909"/>
      <c r="K97" s="908" t="s">
        <v>27</v>
      </c>
      <c r="L97" s="973"/>
      <c r="M97" s="347"/>
    </row>
    <row r="98" spans="2:27" s="158" customFormat="1" hidden="1" x14ac:dyDescent="0.2">
      <c r="B98" s="146"/>
      <c r="C98" s="146"/>
      <c r="D98" s="146"/>
      <c r="E98" s="146"/>
      <c r="F98" s="146"/>
      <c r="G98" s="146"/>
      <c r="H98" s="146"/>
      <c r="I98" s="146"/>
      <c r="J98" s="146"/>
      <c r="K98" s="146"/>
      <c r="L98" s="146"/>
      <c r="M98" s="344"/>
      <c r="V98" s="345"/>
      <c r="W98" s="346"/>
      <c r="X98" s="345"/>
      <c r="Y98" s="345"/>
      <c r="Z98" s="345"/>
      <c r="AA98" s="345"/>
    </row>
    <row r="99" spans="2:27" s="348" customFormat="1" x14ac:dyDescent="0.2">
      <c r="B99" s="905" t="s">
        <v>438</v>
      </c>
      <c r="C99" s="905"/>
      <c r="D99" s="905"/>
      <c r="E99" s="905"/>
      <c r="F99" s="905" t="s">
        <v>443</v>
      </c>
      <c r="G99" s="905"/>
      <c r="H99" s="905"/>
      <c r="I99" s="905"/>
      <c r="J99" s="905"/>
      <c r="K99" s="905"/>
      <c r="L99" s="905"/>
    </row>
    <row r="100" spans="2:27" s="158" customFormat="1" x14ac:dyDescent="0.2">
      <c r="B100" s="905" t="s">
        <v>439</v>
      </c>
      <c r="C100" s="905"/>
      <c r="D100" s="905"/>
      <c r="E100" s="905"/>
      <c r="F100" s="905" t="s">
        <v>444</v>
      </c>
      <c r="G100" s="905"/>
      <c r="H100" s="905"/>
      <c r="I100" s="905"/>
      <c r="J100" s="905"/>
      <c r="K100" s="905"/>
      <c r="L100" s="905"/>
    </row>
    <row r="101" spans="2:27" s="158" customFormat="1" x14ac:dyDescent="0.2">
      <c r="B101" s="905" t="s">
        <v>440</v>
      </c>
      <c r="C101" s="905"/>
      <c r="D101" s="905"/>
      <c r="E101" s="905"/>
      <c r="F101" s="905" t="s">
        <v>445</v>
      </c>
      <c r="G101" s="905"/>
      <c r="H101" s="905"/>
      <c r="I101" s="905"/>
      <c r="J101" s="905"/>
      <c r="K101" s="905"/>
      <c r="L101" s="905"/>
    </row>
    <row r="102" spans="2:27" s="158" customFormat="1" ht="20.100000000000001" customHeight="1" x14ac:dyDescent="0.2">
      <c r="B102" s="905" t="s">
        <v>441</v>
      </c>
      <c r="C102" s="905"/>
      <c r="D102" s="905"/>
      <c r="E102" s="905"/>
      <c r="F102" s="905" t="s">
        <v>446</v>
      </c>
      <c r="G102" s="905"/>
      <c r="H102" s="905"/>
      <c r="I102" s="905"/>
      <c r="J102" s="905"/>
      <c r="K102" s="905"/>
      <c r="L102" s="905"/>
    </row>
    <row r="103" spans="2:27" s="158" customFormat="1" ht="20.100000000000001" customHeight="1" x14ac:dyDescent="0.2">
      <c r="B103" s="905" t="s">
        <v>442</v>
      </c>
      <c r="C103" s="905"/>
      <c r="D103" s="905"/>
      <c r="E103" s="905"/>
      <c r="F103" s="905" t="s">
        <v>447</v>
      </c>
      <c r="G103" s="905"/>
      <c r="H103" s="905"/>
      <c r="I103" s="905"/>
      <c r="J103" s="905"/>
      <c r="K103" s="905"/>
      <c r="L103" s="905"/>
    </row>
    <row r="104" spans="2:27" s="158" customFormat="1" ht="20.100000000000001" customHeight="1" x14ac:dyDescent="0.2">
      <c r="B104" s="905" t="s">
        <v>448</v>
      </c>
      <c r="C104" s="905"/>
      <c r="D104" s="905"/>
      <c r="E104" s="905"/>
      <c r="F104" s="905"/>
      <c r="G104" s="905"/>
      <c r="H104" s="905"/>
      <c r="I104" s="905"/>
      <c r="J104" s="905"/>
      <c r="K104" s="905"/>
      <c r="L104" s="905"/>
    </row>
    <row r="105" spans="2:27" s="158" customFormat="1" ht="20.100000000000001" customHeight="1" x14ac:dyDescent="0.2">
      <c r="B105" s="146"/>
      <c r="C105" s="146"/>
      <c r="D105" s="146"/>
      <c r="E105" s="146"/>
      <c r="F105" s="146"/>
      <c r="G105" s="146"/>
      <c r="H105" s="146"/>
      <c r="I105" s="146"/>
      <c r="J105" s="146"/>
      <c r="K105" s="146"/>
      <c r="L105" s="146"/>
    </row>
    <row r="106" spans="2:27" s="158" customFormat="1" ht="20.100000000000001" customHeight="1" x14ac:dyDescent="0.2">
      <c r="B106" s="146"/>
      <c r="C106" s="146"/>
      <c r="D106" s="146"/>
      <c r="E106" s="146"/>
      <c r="F106" s="146"/>
      <c r="G106" s="146"/>
      <c r="H106" s="146"/>
      <c r="I106" s="146"/>
      <c r="J106" s="146"/>
      <c r="K106" s="146"/>
      <c r="L106" s="146"/>
    </row>
    <row r="107" spans="2:27" s="158" customFormat="1" ht="20.100000000000001" customHeight="1" x14ac:dyDescent="0.2"/>
    <row r="108" spans="2:27" s="158" customFormat="1" ht="20.100000000000001" customHeight="1" x14ac:dyDescent="0.2"/>
    <row r="109" spans="2:27" s="158" customFormat="1" ht="20.100000000000001" customHeight="1" x14ac:dyDescent="0.2"/>
    <row r="110" spans="2:27" s="158" customFormat="1" ht="20.100000000000001" customHeight="1" x14ac:dyDescent="0.2"/>
    <row r="111" spans="2:27" s="158" customFormat="1" ht="20.100000000000001" customHeight="1" x14ac:dyDescent="0.2"/>
    <row r="112" spans="2:27" s="158" customFormat="1" x14ac:dyDescent="0.2"/>
    <row r="113" s="158" customFormat="1" x14ac:dyDescent="0.2"/>
    <row r="114" s="158" customFormat="1" x14ac:dyDescent="0.2"/>
    <row r="115" s="158" customFormat="1" x14ac:dyDescent="0.2"/>
    <row r="116" s="158" customFormat="1" x14ac:dyDescent="0.2"/>
    <row r="117" s="158" customFormat="1" x14ac:dyDescent="0.2"/>
    <row r="118" s="158" customFormat="1" x14ac:dyDescent="0.2"/>
    <row r="119" s="158" customFormat="1" x14ac:dyDescent="0.2"/>
    <row r="120" s="158" customFormat="1" x14ac:dyDescent="0.2"/>
    <row r="121" s="158" customFormat="1" x14ac:dyDescent="0.2"/>
    <row r="122" s="158" customFormat="1" x14ac:dyDescent="0.2"/>
    <row r="123" s="158" customFormat="1" x14ac:dyDescent="0.2"/>
    <row r="124" s="158" customFormat="1" x14ac:dyDescent="0.2"/>
    <row r="125" s="158" customFormat="1" x14ac:dyDescent="0.2"/>
    <row r="126" s="158" customFormat="1" x14ac:dyDescent="0.2"/>
    <row r="127" s="158" customFormat="1" x14ac:dyDescent="0.2"/>
    <row r="128" s="158" customFormat="1" x14ac:dyDescent="0.2"/>
    <row r="129" s="158" customFormat="1" x14ac:dyDescent="0.2"/>
    <row r="130" s="158" customFormat="1" x14ac:dyDescent="0.2"/>
    <row r="131" s="158" customFormat="1" x14ac:dyDescent="0.2"/>
    <row r="132" s="158" customFormat="1" x14ac:dyDescent="0.2"/>
    <row r="133" s="158" customFormat="1" x14ac:dyDescent="0.2"/>
    <row r="134" s="158" customFormat="1" x14ac:dyDescent="0.2"/>
    <row r="135" s="158" customFormat="1" x14ac:dyDescent="0.2"/>
    <row r="136" s="158" customFormat="1" x14ac:dyDescent="0.2"/>
    <row r="137" s="158" customFormat="1" x14ac:dyDescent="0.2"/>
    <row r="138" s="158" customFormat="1" x14ac:dyDescent="0.2"/>
    <row r="139" s="158" customFormat="1" x14ac:dyDescent="0.2"/>
    <row r="140" s="158" customFormat="1" x14ac:dyDescent="0.2"/>
    <row r="141" s="158" customFormat="1" x14ac:dyDescent="0.2"/>
    <row r="142" s="158" customFormat="1" x14ac:dyDescent="0.2"/>
    <row r="143" s="158" customFormat="1" x14ac:dyDescent="0.2"/>
    <row r="144" s="158" customFormat="1" x14ac:dyDescent="0.2"/>
    <row r="145" s="158" customFormat="1" x14ac:dyDescent="0.2"/>
    <row r="146" s="158" customFormat="1" x14ac:dyDescent="0.2"/>
    <row r="147" s="158" customFormat="1" x14ac:dyDescent="0.2"/>
    <row r="148" s="158" customFormat="1" x14ac:dyDescent="0.2"/>
    <row r="149" s="158" customFormat="1" x14ac:dyDescent="0.2"/>
    <row r="150" s="158" customFormat="1" x14ac:dyDescent="0.2"/>
    <row r="151" s="158" customFormat="1" x14ac:dyDescent="0.2"/>
    <row r="152" s="158" customFormat="1" x14ac:dyDescent="0.2"/>
    <row r="153" s="158" customFormat="1" x14ac:dyDescent="0.2"/>
    <row r="154" s="158" customFormat="1" x14ac:dyDescent="0.2"/>
    <row r="155" s="158" customFormat="1" x14ac:dyDescent="0.2"/>
    <row r="156" s="158" customFormat="1" x14ac:dyDescent="0.2"/>
    <row r="157" s="158" customFormat="1" x14ac:dyDescent="0.2"/>
    <row r="158" s="158" customFormat="1" x14ac:dyDescent="0.2"/>
    <row r="159" s="158" customFormat="1" x14ac:dyDescent="0.2"/>
    <row r="160" s="158" customFormat="1" x14ac:dyDescent="0.2"/>
    <row r="161" s="158" customFormat="1" x14ac:dyDescent="0.2"/>
    <row r="162" s="158" customFormat="1" x14ac:dyDescent="0.2"/>
    <row r="163" s="158" customFormat="1" x14ac:dyDescent="0.2"/>
    <row r="164" s="158" customFormat="1" x14ac:dyDescent="0.2"/>
    <row r="165" s="158" customFormat="1" x14ac:dyDescent="0.2"/>
    <row r="166" s="158" customFormat="1" x14ac:dyDescent="0.2"/>
    <row r="167" s="158" customFormat="1" x14ac:dyDescent="0.2"/>
    <row r="168" s="158" customFormat="1" x14ac:dyDescent="0.2"/>
    <row r="169" s="158" customFormat="1" x14ac:dyDescent="0.2"/>
    <row r="170" s="158" customFormat="1" x14ac:dyDescent="0.2"/>
    <row r="171" s="158" customFormat="1" x14ac:dyDescent="0.2"/>
    <row r="172" s="158" customFormat="1" x14ac:dyDescent="0.2"/>
    <row r="173" s="158" customFormat="1" x14ac:dyDescent="0.2"/>
    <row r="174" s="158" customFormat="1" x14ac:dyDescent="0.2"/>
    <row r="175" s="158" customFormat="1" x14ac:dyDescent="0.2"/>
    <row r="176" s="158" customFormat="1" x14ac:dyDescent="0.2"/>
    <row r="177" s="158" customFormat="1" x14ac:dyDescent="0.2"/>
    <row r="178" s="158" customFormat="1" x14ac:dyDescent="0.2"/>
    <row r="179" s="158" customFormat="1" x14ac:dyDescent="0.2"/>
    <row r="180" s="158" customFormat="1" x14ac:dyDescent="0.2"/>
    <row r="181" s="158" customFormat="1" x14ac:dyDescent="0.2"/>
    <row r="182" s="158" customFormat="1" x14ac:dyDescent="0.2"/>
    <row r="183" s="158" customFormat="1" x14ac:dyDescent="0.2"/>
    <row r="184" s="158" customFormat="1" x14ac:dyDescent="0.2"/>
    <row r="185" s="158" customFormat="1" x14ac:dyDescent="0.2"/>
    <row r="186" s="158" customFormat="1" x14ac:dyDescent="0.2"/>
    <row r="187" s="158" customFormat="1" x14ac:dyDescent="0.2"/>
    <row r="188" s="158" customFormat="1" x14ac:dyDescent="0.2"/>
    <row r="189" s="158" customFormat="1" x14ac:dyDescent="0.2"/>
    <row r="190" s="158" customFormat="1" x14ac:dyDescent="0.2"/>
    <row r="191" s="158" customFormat="1" x14ac:dyDescent="0.2"/>
    <row r="192" s="158" customFormat="1" x14ac:dyDescent="0.2"/>
    <row r="193" s="158" customFormat="1" x14ac:dyDescent="0.2"/>
    <row r="194" s="158" customFormat="1" x14ac:dyDescent="0.2"/>
    <row r="195" s="158" customFormat="1" x14ac:dyDescent="0.2"/>
    <row r="196" s="158" customFormat="1" x14ac:dyDescent="0.2"/>
    <row r="197" s="158" customFormat="1" x14ac:dyDescent="0.2"/>
    <row r="198" s="158" customFormat="1" x14ac:dyDescent="0.2"/>
    <row r="199" s="158" customFormat="1" x14ac:dyDescent="0.2"/>
    <row r="200" s="158" customFormat="1" x14ac:dyDescent="0.2"/>
    <row r="201" s="158" customFormat="1" x14ac:dyDescent="0.2"/>
    <row r="202" s="158" customFormat="1" x14ac:dyDescent="0.2"/>
    <row r="203" s="158" customFormat="1" x14ac:dyDescent="0.2"/>
    <row r="204" s="158" customFormat="1" x14ac:dyDescent="0.2"/>
    <row r="205" s="158" customFormat="1" x14ac:dyDescent="0.2"/>
    <row r="206" s="158" customFormat="1" x14ac:dyDescent="0.2"/>
    <row r="207" s="158" customFormat="1" x14ac:dyDescent="0.2"/>
    <row r="208" s="158" customFormat="1" x14ac:dyDescent="0.2"/>
    <row r="209" s="158" customFormat="1" x14ac:dyDescent="0.2"/>
    <row r="210" s="158" customFormat="1" x14ac:dyDescent="0.2"/>
    <row r="211" s="158" customFormat="1" x14ac:dyDescent="0.2"/>
    <row r="212" s="158" customFormat="1" x14ac:dyDescent="0.2"/>
    <row r="213" s="158" customFormat="1" x14ac:dyDescent="0.2"/>
    <row r="214" s="158" customFormat="1" x14ac:dyDescent="0.2"/>
    <row r="215" s="158" customFormat="1" x14ac:dyDescent="0.2"/>
    <row r="216" s="158" customFormat="1" x14ac:dyDescent="0.2"/>
    <row r="217" s="158" customFormat="1" x14ac:dyDescent="0.2"/>
    <row r="218" s="158" customFormat="1" x14ac:dyDescent="0.2"/>
    <row r="219" s="158" customFormat="1" x14ac:dyDescent="0.2"/>
    <row r="220" s="158" customFormat="1" x14ac:dyDescent="0.2"/>
    <row r="221" s="158" customFormat="1" x14ac:dyDescent="0.2"/>
    <row r="222" s="158" customFormat="1" x14ac:dyDescent="0.2"/>
    <row r="223" s="158" customFormat="1" x14ac:dyDescent="0.2"/>
    <row r="224" s="158" customFormat="1" x14ac:dyDescent="0.2"/>
    <row r="225" s="158" customFormat="1" x14ac:dyDescent="0.2"/>
    <row r="226" s="158" customFormat="1" x14ac:dyDescent="0.2"/>
    <row r="227" s="158" customFormat="1" x14ac:dyDescent="0.2"/>
    <row r="228" s="158" customFormat="1" x14ac:dyDescent="0.2"/>
    <row r="229" s="158" customFormat="1" x14ac:dyDescent="0.2"/>
    <row r="230" s="158" customFormat="1" x14ac:dyDescent="0.2"/>
    <row r="231" s="158" customFormat="1" x14ac:dyDescent="0.2"/>
    <row r="232" s="158" customFormat="1" x14ac:dyDescent="0.2"/>
    <row r="233" s="158" customFormat="1" x14ac:dyDescent="0.2"/>
    <row r="234" s="158" customFormat="1" x14ac:dyDescent="0.2"/>
    <row r="235" s="158" customFormat="1" x14ac:dyDescent="0.2"/>
    <row r="236" s="158" customFormat="1" x14ac:dyDescent="0.2"/>
    <row r="237" s="158" customFormat="1" x14ac:dyDescent="0.2"/>
    <row r="238" s="158" customFormat="1" x14ac:dyDescent="0.2"/>
  </sheetData>
  <sheetProtection password="E421" sheet="1" objects="1" scenarios="1"/>
  <mergeCells count="187">
    <mergeCell ref="G79:H79"/>
    <mergeCell ref="I79:K79"/>
    <mergeCell ref="L79:N79"/>
    <mergeCell ref="O79:Q79"/>
    <mergeCell ref="G80:H80"/>
    <mergeCell ref="I80:K80"/>
    <mergeCell ref="L80:N80"/>
    <mergeCell ref="O80:Q80"/>
    <mergeCell ref="O81:Q81"/>
    <mergeCell ref="G76:H76"/>
    <mergeCell ref="I76:K76"/>
    <mergeCell ref="L76:N76"/>
    <mergeCell ref="O76:Q76"/>
    <mergeCell ref="G77:H77"/>
    <mergeCell ref="I77:K77"/>
    <mergeCell ref="L77:N77"/>
    <mergeCell ref="O77:Q77"/>
    <mergeCell ref="G78:H78"/>
    <mergeCell ref="I78:K78"/>
    <mergeCell ref="L78:N78"/>
    <mergeCell ref="O78:Q78"/>
    <mergeCell ref="G73:H73"/>
    <mergeCell ref="I73:K73"/>
    <mergeCell ref="L73:N73"/>
    <mergeCell ref="O73:Q73"/>
    <mergeCell ref="G74:H74"/>
    <mergeCell ref="I74:K74"/>
    <mergeCell ref="L74:N74"/>
    <mergeCell ref="O74:Q74"/>
    <mergeCell ref="G75:H75"/>
    <mergeCell ref="I75:K75"/>
    <mergeCell ref="L75:N75"/>
    <mergeCell ref="O75:Q75"/>
    <mergeCell ref="G70:Q70"/>
    <mergeCell ref="G71:H71"/>
    <mergeCell ref="I71:K71"/>
    <mergeCell ref="L71:N71"/>
    <mergeCell ref="O71:Q71"/>
    <mergeCell ref="G72:H72"/>
    <mergeCell ref="I72:K72"/>
    <mergeCell ref="L72:N72"/>
    <mergeCell ref="O72:Q72"/>
    <mergeCell ref="B27:L27"/>
    <mergeCell ref="J51:L51"/>
    <mergeCell ref="B50:C50"/>
    <mergeCell ref="G42:I42"/>
    <mergeCell ref="G43:I43"/>
    <mergeCell ref="G44:I44"/>
    <mergeCell ref="B48:C48"/>
    <mergeCell ref="B45:C45"/>
    <mergeCell ref="B47:C47"/>
    <mergeCell ref="B28:E28"/>
    <mergeCell ref="B29:E29"/>
    <mergeCell ref="B30:E30"/>
    <mergeCell ref="B31:E31"/>
    <mergeCell ref="J28:L28"/>
    <mergeCell ref="G34:L34"/>
    <mergeCell ref="J31:L31"/>
    <mergeCell ref="B37:F37"/>
    <mergeCell ref="G37:L37"/>
    <mergeCell ref="B36:F36"/>
    <mergeCell ref="G36:L36"/>
    <mergeCell ref="H28:I28"/>
    <mergeCell ref="B32:E32"/>
    <mergeCell ref="B33:F33"/>
    <mergeCell ref="G33:L33"/>
    <mergeCell ref="G97:H97"/>
    <mergeCell ref="E94:F94"/>
    <mergeCell ref="K94:L94"/>
    <mergeCell ref="K95:L95"/>
    <mergeCell ref="K96:L96"/>
    <mergeCell ref="K97:L97"/>
    <mergeCell ref="I94:J94"/>
    <mergeCell ref="I95:J95"/>
    <mergeCell ref="F32:G32"/>
    <mergeCell ref="B55:L55"/>
    <mergeCell ref="B54:C54"/>
    <mergeCell ref="I96:J96"/>
    <mergeCell ref="I97:J97"/>
    <mergeCell ref="B96:D96"/>
    <mergeCell ref="B97:D97"/>
    <mergeCell ref="G94:H94"/>
    <mergeCell ref="G95:H95"/>
    <mergeCell ref="B93:L93"/>
    <mergeCell ref="B94:D94"/>
    <mergeCell ref="B95:D95"/>
    <mergeCell ref="G96:H96"/>
    <mergeCell ref="B52:C52"/>
    <mergeCell ref="G47:I47"/>
    <mergeCell ref="B41:L41"/>
    <mergeCell ref="B40:F40"/>
    <mergeCell ref="G40:L40"/>
    <mergeCell ref="B34:F34"/>
    <mergeCell ref="J32:L32"/>
    <mergeCell ref="B43:C43"/>
    <mergeCell ref="B44:C44"/>
    <mergeCell ref="B46:C46"/>
    <mergeCell ref="G45:I45"/>
    <mergeCell ref="G46:I46"/>
    <mergeCell ref="J43:L43"/>
    <mergeCell ref="H32:I32"/>
    <mergeCell ref="B49:C49"/>
    <mergeCell ref="B51:C51"/>
    <mergeCell ref="J42:L42"/>
    <mergeCell ref="J45:L45"/>
    <mergeCell ref="J46:L46"/>
    <mergeCell ref="J47:L47"/>
    <mergeCell ref="J48:L48"/>
    <mergeCell ref="J49:L49"/>
    <mergeCell ref="J50:L50"/>
    <mergeCell ref="G48:I48"/>
    <mergeCell ref="J44:L44"/>
    <mergeCell ref="F1:L1"/>
    <mergeCell ref="B1:E1"/>
    <mergeCell ref="B8:L8"/>
    <mergeCell ref="B38:F38"/>
    <mergeCell ref="B39:F39"/>
    <mergeCell ref="G38:L38"/>
    <mergeCell ref="G39:L39"/>
    <mergeCell ref="B16:L16"/>
    <mergeCell ref="B9:L9"/>
    <mergeCell ref="B11:L11"/>
    <mergeCell ref="F28:G28"/>
    <mergeCell ref="B4:L4"/>
    <mergeCell ref="B5:L5"/>
    <mergeCell ref="F29:G29"/>
    <mergeCell ref="F31:G31"/>
    <mergeCell ref="H29:I29"/>
    <mergeCell ref="H30:I30"/>
    <mergeCell ref="H31:I31"/>
    <mergeCell ref="J29:L29"/>
    <mergeCell ref="J30:L30"/>
    <mergeCell ref="B35:F35"/>
    <mergeCell ref="G35:L35"/>
    <mergeCell ref="B25:L25"/>
    <mergeCell ref="B26:L26"/>
    <mergeCell ref="B104:L104"/>
    <mergeCell ref="E95:F95"/>
    <mergeCell ref="E96:F96"/>
    <mergeCell ref="E97:F97"/>
    <mergeCell ref="F30:G30"/>
    <mergeCell ref="D52:L52"/>
    <mergeCell ref="D54:L54"/>
    <mergeCell ref="B73:C73"/>
    <mergeCell ref="B70:C70"/>
    <mergeCell ref="B72:C72"/>
    <mergeCell ref="G49:I49"/>
    <mergeCell ref="G50:I50"/>
    <mergeCell ref="G51:I51"/>
    <mergeCell ref="B42:C42"/>
    <mergeCell ref="D42:F42"/>
    <mergeCell ref="D43:F43"/>
    <mergeCell ref="D44:F44"/>
    <mergeCell ref="D45:F45"/>
    <mergeCell ref="D46:F46"/>
    <mergeCell ref="D47:F47"/>
    <mergeCell ref="D48:F48"/>
    <mergeCell ref="D49:F49"/>
    <mergeCell ref="D50:F50"/>
    <mergeCell ref="D51:F51"/>
    <mergeCell ref="B99:E99"/>
    <mergeCell ref="F99:L99"/>
    <mergeCell ref="B100:E100"/>
    <mergeCell ref="B101:E101"/>
    <mergeCell ref="B102:E102"/>
    <mergeCell ref="B103:E103"/>
    <mergeCell ref="F100:L100"/>
    <mergeCell ref="F101:L101"/>
    <mergeCell ref="F102:L102"/>
    <mergeCell ref="F103:L103"/>
    <mergeCell ref="B53:C53"/>
    <mergeCell ref="D53:L53"/>
    <mergeCell ref="C65:L65"/>
    <mergeCell ref="C64:L64"/>
    <mergeCell ref="C62:G62"/>
    <mergeCell ref="H62:L62"/>
    <mergeCell ref="C61:L61"/>
    <mergeCell ref="C63:G63"/>
    <mergeCell ref="C59:L59"/>
    <mergeCell ref="C56:G56"/>
    <mergeCell ref="H56:L56"/>
    <mergeCell ref="H63:L63"/>
    <mergeCell ref="C60:L60"/>
    <mergeCell ref="H58:L58"/>
    <mergeCell ref="C57:G57"/>
    <mergeCell ref="H57:L57"/>
    <mergeCell ref="C58:G58"/>
  </mergeCells>
  <conditionalFormatting sqref="G40:L40">
    <cfRule type="containsText" priority="4" stopIfTrue="1" operator="containsText" text="N/A">
      <formula>NOT(ISERROR(SEARCH("N/A",G40)))</formula>
    </cfRule>
    <cfRule type="containsBlanks" dxfId="356" priority="47">
      <formula>LEN(TRIM(G40))=0</formula>
    </cfRule>
    <cfRule type="cellIs" dxfId="355" priority="96" operator="greaterThan">
      <formula>0</formula>
    </cfRule>
  </conditionalFormatting>
  <conditionalFormatting sqref="G33:L33">
    <cfRule type="cellIs" dxfId="354" priority="141" operator="lessThan">
      <formula>0.00001</formula>
    </cfRule>
  </conditionalFormatting>
  <conditionalFormatting sqref="M39 M34:M35">
    <cfRule type="containsErrors" dxfId="353" priority="139">
      <formula>ISERROR(M34)</formula>
    </cfRule>
  </conditionalFormatting>
  <conditionalFormatting sqref="F1:L1">
    <cfRule type="containsText" dxfId="352" priority="138" operator="containsText" text="0">
      <formula>NOT(ISERROR(SEARCH("0",F1)))</formula>
    </cfRule>
  </conditionalFormatting>
  <conditionalFormatting sqref="C14:L15">
    <cfRule type="cellIs" dxfId="351" priority="95" operator="lessThan">
      <formula>0.000000001</formula>
    </cfRule>
  </conditionalFormatting>
  <conditionalFormatting sqref="C22:L22">
    <cfRule type="containsBlanks" dxfId="350" priority="50" stopIfTrue="1">
      <formula>LEN(TRIM(C22))=0</formula>
    </cfRule>
  </conditionalFormatting>
  <conditionalFormatting sqref="C22:L22">
    <cfRule type="cellIs" dxfId="349" priority="63" operator="greaterThan">
      <formula>$C$15</formula>
    </cfRule>
  </conditionalFormatting>
  <conditionalFormatting sqref="D22">
    <cfRule type="cellIs" dxfId="348" priority="59" operator="greaterThan">
      <formula>$D$15</formula>
    </cfRule>
  </conditionalFormatting>
  <conditionalFormatting sqref="E22">
    <cfRule type="cellIs" dxfId="347" priority="58" operator="greaterThan">
      <formula>$E$15</formula>
    </cfRule>
  </conditionalFormatting>
  <conditionalFormatting sqref="F22">
    <cfRule type="cellIs" dxfId="346" priority="57" operator="greaterThan">
      <formula>$F$15</formula>
    </cfRule>
  </conditionalFormatting>
  <conditionalFormatting sqref="G22">
    <cfRule type="cellIs" dxfId="345" priority="56" operator="greaterThan">
      <formula>$G$15</formula>
    </cfRule>
  </conditionalFormatting>
  <conditionalFormatting sqref="H22">
    <cfRule type="cellIs" dxfId="344" priority="55" operator="greaterThan">
      <formula>$H$15</formula>
    </cfRule>
  </conditionalFormatting>
  <conditionalFormatting sqref="I22">
    <cfRule type="cellIs" dxfId="343" priority="54" operator="greaterThan">
      <formula>$I$15</formula>
    </cfRule>
  </conditionalFormatting>
  <conditionalFormatting sqref="J22">
    <cfRule type="cellIs" dxfId="342" priority="53" operator="greaterThan">
      <formula>$J$15</formula>
    </cfRule>
  </conditionalFormatting>
  <conditionalFormatting sqref="K22">
    <cfRule type="cellIs" dxfId="341" priority="52" operator="greaterThan">
      <formula>$K$15</formula>
    </cfRule>
  </conditionalFormatting>
  <conditionalFormatting sqref="L22">
    <cfRule type="cellIs" dxfId="340" priority="51" operator="greaterThan">
      <formula>$L$15</formula>
    </cfRule>
  </conditionalFormatting>
  <conditionalFormatting sqref="G39:L39">
    <cfRule type="cellIs" dxfId="339" priority="48" operator="greaterThan">
      <formula>$G$36</formula>
    </cfRule>
  </conditionalFormatting>
  <conditionalFormatting sqref="C64:C65 D54:L54 C61">
    <cfRule type="containsText" priority="14" stopIfTrue="1" operator="containsText" text="NA">
      <formula>NOT(ISERROR(SEARCH("NA",C54)))</formula>
    </cfRule>
    <cfRule type="cellIs" dxfId="338" priority="46" operator="greaterThan">
      <formula>0</formula>
    </cfRule>
  </conditionalFormatting>
  <conditionalFormatting sqref="O81:W81 J29:L32 G34:L35 G38:L40 D52:D54 E52:L52 E54:L54 C24:L24">
    <cfRule type="containsErrors" dxfId="337" priority="45">
      <formula>ISERROR(C24)</formula>
    </cfRule>
  </conditionalFormatting>
  <conditionalFormatting sqref="G36:L36 D63:L63 C61 C63:C65">
    <cfRule type="containsErrors" dxfId="336" priority="147">
      <formula>ISERROR(C36)</formula>
    </cfRule>
  </conditionalFormatting>
  <conditionalFormatting sqref="C23:L23">
    <cfRule type="containsText" dxfId="335" priority="38" operator="containsText" text="*-">
      <formula>NOT(ISERROR(SEARCH("*-",C23)))</formula>
    </cfRule>
  </conditionalFormatting>
  <conditionalFormatting sqref="C57:L57">
    <cfRule type="cellIs" dxfId="334" priority="10" operator="equal">
      <formula>0</formula>
    </cfRule>
  </conditionalFormatting>
  <conditionalFormatting sqref="C62:L62">
    <cfRule type="containsErrors" dxfId="333" priority="5">
      <formula>ISERROR(C62)</formula>
    </cfRule>
  </conditionalFormatting>
  <conditionalFormatting sqref="M36">
    <cfRule type="containsErrors" dxfId="332" priority="148">
      <formula>ISERROR(M36)</formula>
    </cfRule>
  </conditionalFormatting>
  <conditionalFormatting sqref="M40">
    <cfRule type="containsErrors" dxfId="331" priority="2">
      <formula>ISERROR(M40)</formula>
    </cfRule>
  </conditionalFormatting>
  <conditionalFormatting sqref="D53:L53">
    <cfRule type="cellIs" dxfId="330" priority="1" operator="lessThanOrEqual">
      <formula>0</formula>
    </cfRule>
  </conditionalFormatting>
  <hyperlinks>
    <hyperlink ref="M29" location="tcn" display="See Maximum Curve Number after Development" xr:uid="{00000000-0004-0000-0D00-000000000000}"/>
    <hyperlink ref="M37" location="SCS" display="See SCS Runoff Method" xr:uid="{00000000-0004-0000-0D00-000001000000}"/>
    <hyperlink ref="B99:E99" location="'DA1'!A1" display="CLICK TO EDIT DA 1" xr:uid="{00000000-0004-0000-0D00-000002000000}"/>
    <hyperlink ref="B100:E100" location="'DA2'!A1" display="CLICK TO EDIT DA 2" xr:uid="{00000000-0004-0000-0D00-000003000000}"/>
    <hyperlink ref="B101:E101" location="'DA3'!A1" display="CLICK TO EDIT DA 3" xr:uid="{00000000-0004-0000-0D00-000004000000}"/>
    <hyperlink ref="B102:E102" location="'DA4'!A1" display="CLICK TO EDIT DA 4" xr:uid="{00000000-0004-0000-0D00-000005000000}"/>
    <hyperlink ref="B103:E103" location="'DA5'!A1" display="CLICK TO EDIT DA 5" xr:uid="{00000000-0004-0000-0D00-000006000000}"/>
    <hyperlink ref="F99:L99" location="'DA6'!A1" display="CLICK TO EDIT DA 6" xr:uid="{00000000-0004-0000-0D00-000007000000}"/>
    <hyperlink ref="F100:L100" location="'DA7'!A1" display="CLICK TO EDIT DA 7" xr:uid="{00000000-0004-0000-0D00-000008000000}"/>
    <hyperlink ref="F101:L101" location="'DA8'!A1" display="CLICK TO EDIT DA 8" xr:uid="{00000000-0004-0000-0D00-000009000000}"/>
    <hyperlink ref="F102:L102" location="'DA9'!A1" display="CLICK TO EDIT DA 9" xr:uid="{00000000-0004-0000-0D00-00000A000000}"/>
    <hyperlink ref="F103:L103" location="'DA10'!A1" display="CLICK TO EDIT DA 10" xr:uid="{00000000-0004-0000-0D00-00000B000000}"/>
    <hyperlink ref="B104:L104" location="DA1_BMPs!A1" display="CLICK TO ADD BMPs" xr:uid="{00000000-0004-0000-0D00-00000C000000}"/>
  </hyperlinks>
  <printOptions horizontalCentered="1"/>
  <pageMargins left="0.7" right="0.7" top="0.75" bottom="0.75" header="0.3" footer="0.3"/>
  <pageSetup scale="47" orientation="portrait" r:id="rId1"/>
  <headerFooter>
    <oddFooter>&amp;A&amp;RPage &amp;P</oddFooter>
  </headerFooter>
  <ignoredErrors>
    <ignoredError sqref="M34" evalError="1"/>
  </ignoredError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7030A0"/>
  </sheetPr>
  <dimension ref="A1:AA487"/>
  <sheetViews>
    <sheetView showRowColHeaders="0" topLeftCell="A3" zoomScale="70" zoomScaleNormal="70" zoomScalePageLayoutView="55" workbookViewId="0">
      <selection activeCell="D92" sqref="D92:M92"/>
    </sheetView>
  </sheetViews>
  <sheetFormatPr defaultRowHeight="15" x14ac:dyDescent="0.2"/>
  <cols>
    <col min="1" max="1" width="3.77734375" style="507" customWidth="1"/>
    <col min="2" max="2" width="39" style="161" customWidth="1"/>
    <col min="3" max="3" width="42.5546875" style="161" bestFit="1" customWidth="1"/>
    <col min="4" max="10" width="9.77734375" style="161" customWidth="1"/>
    <col min="11" max="11" width="9.77734375" style="398" customWidth="1"/>
    <col min="12" max="13" width="9.77734375" style="161" customWidth="1"/>
    <col min="14" max="14" width="77" style="161" customWidth="1"/>
    <col min="15" max="25" width="8.88671875" style="158"/>
    <col min="26" max="16384" width="8.88671875" style="161"/>
  </cols>
  <sheetData>
    <row r="1" spans="1:25" ht="16.5" customHeight="1" thickBot="1" x14ac:dyDescent="0.3">
      <c r="B1" s="787" t="s">
        <v>31</v>
      </c>
      <c r="C1" s="787"/>
      <c r="D1" s="787"/>
      <c r="E1" s="931"/>
      <c r="F1" s="1107">
        <f>'SITE DATA'!F9</f>
        <v>0</v>
      </c>
      <c r="G1" s="1108"/>
      <c r="H1" s="1108"/>
      <c r="I1" s="1108"/>
      <c r="J1" s="1108"/>
      <c r="K1" s="1108"/>
      <c r="L1" s="1108"/>
      <c r="M1" s="1109"/>
      <c r="N1" s="158"/>
    </row>
    <row r="2" spans="1:25" ht="16.5" customHeight="1" x14ac:dyDescent="0.2">
      <c r="B2" s="293"/>
      <c r="C2" s="293"/>
      <c r="D2" s="293"/>
      <c r="E2" s="293"/>
      <c r="F2" s="293"/>
      <c r="G2" s="293"/>
      <c r="H2" s="293"/>
      <c r="I2" s="293"/>
      <c r="J2" s="293"/>
      <c r="K2" s="237"/>
      <c r="L2" s="293"/>
      <c r="M2" s="293"/>
      <c r="N2" s="158"/>
    </row>
    <row r="3" spans="1:25" ht="16.5" customHeight="1" x14ac:dyDescent="0.25">
      <c r="B3" s="797" t="s">
        <v>7</v>
      </c>
      <c r="C3" s="797"/>
      <c r="D3" s="797"/>
      <c r="E3" s="797"/>
      <c r="F3" s="797"/>
      <c r="G3" s="797"/>
      <c r="H3" s="797"/>
      <c r="I3" s="797"/>
      <c r="J3" s="797"/>
      <c r="K3" s="797"/>
      <c r="L3" s="797"/>
      <c r="M3" s="797"/>
      <c r="N3" s="158"/>
    </row>
    <row r="4" spans="1:25" ht="16.5" customHeight="1" x14ac:dyDescent="0.25">
      <c r="B4" s="797" t="s">
        <v>359</v>
      </c>
      <c r="C4" s="797"/>
      <c r="D4" s="797"/>
      <c r="E4" s="797"/>
      <c r="F4" s="797"/>
      <c r="G4" s="797"/>
      <c r="H4" s="797"/>
      <c r="I4" s="797"/>
      <c r="J4" s="797"/>
      <c r="K4" s="797"/>
      <c r="L4" s="797"/>
      <c r="M4" s="797"/>
      <c r="N4" s="158"/>
    </row>
    <row r="5" spans="1:25" ht="16.5" customHeight="1" x14ac:dyDescent="0.2">
      <c r="B5" s="158"/>
      <c r="C5" s="158"/>
      <c r="D5" s="158"/>
      <c r="E5" s="158"/>
      <c r="F5" s="158"/>
      <c r="G5" s="158"/>
      <c r="H5" s="158"/>
      <c r="I5" s="158"/>
      <c r="J5" s="158"/>
      <c r="K5" s="363"/>
      <c r="L5" s="158"/>
      <c r="M5" s="158"/>
      <c r="N5" s="158"/>
    </row>
    <row r="6" spans="1:25" ht="16.5" customHeight="1" x14ac:dyDescent="0.2">
      <c r="B6" s="158"/>
      <c r="C6" s="158"/>
      <c r="D6" s="366"/>
      <c r="E6" s="366"/>
      <c r="F6" s="366"/>
      <c r="G6" s="305"/>
      <c r="H6" s="305"/>
      <c r="I6" s="366"/>
      <c r="J6" s="366"/>
      <c r="K6" s="367"/>
      <c r="L6" s="158"/>
      <c r="M6" s="158"/>
    </row>
    <row r="7" spans="1:25" ht="16.5" customHeight="1" thickBot="1" x14ac:dyDescent="0.25">
      <c r="B7" s="158"/>
      <c r="C7" s="158"/>
      <c r="D7" s="305"/>
      <c r="E7" s="305"/>
      <c r="F7" s="305"/>
      <c r="G7" s="305"/>
      <c r="H7" s="305"/>
      <c r="I7" s="305"/>
      <c r="J7" s="305"/>
      <c r="K7" s="160"/>
      <c r="L7" s="158"/>
      <c r="M7" s="158"/>
      <c r="N7" s="158"/>
    </row>
    <row r="8" spans="1:25" s="306" customFormat="1" ht="24.95" customHeight="1" thickTop="1" thickBot="1" x14ac:dyDescent="0.25">
      <c r="A8" s="164"/>
      <c r="B8" s="1081" t="s">
        <v>274</v>
      </c>
      <c r="C8" s="1082"/>
      <c r="D8" s="1082"/>
      <c r="E8" s="1082"/>
      <c r="F8" s="1082"/>
      <c r="G8" s="1082"/>
      <c r="H8" s="1082"/>
      <c r="I8" s="1082"/>
      <c r="J8" s="1082"/>
      <c r="K8" s="1082"/>
      <c r="L8" s="1082"/>
      <c r="M8" s="1083"/>
      <c r="N8" s="238" t="s">
        <v>319</v>
      </c>
      <c r="O8" s="164"/>
      <c r="P8" s="164"/>
      <c r="Q8" s="164"/>
      <c r="R8" s="164"/>
      <c r="S8" s="164"/>
      <c r="T8" s="164"/>
      <c r="U8" s="164"/>
      <c r="V8" s="164"/>
      <c r="W8" s="164"/>
      <c r="X8" s="164"/>
      <c r="Y8" s="164"/>
    </row>
    <row r="9" spans="1:25" s="306" customFormat="1" ht="24.95" customHeight="1" thickTop="1" x14ac:dyDescent="0.2">
      <c r="A9" s="164"/>
      <c r="B9" s="241" t="s">
        <v>415</v>
      </c>
      <c r="C9" s="1087" t="str">
        <f>'DA1'!H10</f>
        <v xml:space="preserve">  </v>
      </c>
      <c r="D9" s="1087"/>
      <c r="E9" s="1087"/>
      <c r="F9" s="1087"/>
      <c r="G9" s="1087"/>
      <c r="H9" s="1087"/>
      <c r="I9" s="1087"/>
      <c r="J9" s="1087"/>
      <c r="K9" s="1087"/>
      <c r="L9" s="1087"/>
      <c r="M9" s="1088"/>
      <c r="N9" s="307"/>
      <c r="O9" s="164"/>
      <c r="P9" s="164"/>
      <c r="Q9" s="164"/>
      <c r="R9" s="164"/>
      <c r="S9" s="164"/>
      <c r="T9" s="164"/>
      <c r="U9" s="164"/>
      <c r="V9" s="164"/>
      <c r="W9" s="164"/>
      <c r="X9" s="164"/>
      <c r="Y9" s="164"/>
    </row>
    <row r="10" spans="1:25" s="306" customFormat="1" ht="24.95" customHeight="1" x14ac:dyDescent="0.2">
      <c r="A10" s="164"/>
      <c r="B10" s="241" t="s">
        <v>414</v>
      </c>
      <c r="C10" s="1087" t="e">
        <f>'DA1'!H9-'DA1'!H10</f>
        <v>#VALUE!</v>
      </c>
      <c r="D10" s="1087"/>
      <c r="E10" s="1087"/>
      <c r="F10" s="1087"/>
      <c r="G10" s="1087"/>
      <c r="H10" s="1087"/>
      <c r="I10" s="1087"/>
      <c r="J10" s="1087"/>
      <c r="K10" s="1087"/>
      <c r="L10" s="1087"/>
      <c r="M10" s="1088"/>
      <c r="N10" s="308"/>
      <c r="O10" s="164"/>
      <c r="P10" s="164"/>
      <c r="Q10" s="164"/>
      <c r="R10" s="164"/>
      <c r="S10" s="164"/>
      <c r="T10" s="164"/>
      <c r="U10" s="164"/>
      <c r="V10" s="164"/>
      <c r="W10" s="164"/>
      <c r="X10" s="164"/>
      <c r="Y10" s="164"/>
    </row>
    <row r="11" spans="1:25" s="306" customFormat="1" ht="33" x14ac:dyDescent="0.2">
      <c r="A11" s="164"/>
      <c r="B11" s="286" t="s">
        <v>733</v>
      </c>
      <c r="C11" s="1032" t="e">
        <f>'SITE SUMMARY'!G40</f>
        <v>#VALUE!</v>
      </c>
      <c r="D11" s="1032"/>
      <c r="E11" s="1032"/>
      <c r="F11" s="1032"/>
      <c r="G11" s="1032"/>
      <c r="H11" s="1032"/>
      <c r="I11" s="1032"/>
      <c r="J11" s="1032"/>
      <c r="K11" s="1032"/>
      <c r="L11" s="1032"/>
      <c r="M11" s="1033"/>
      <c r="N11" s="1035" t="s">
        <v>578</v>
      </c>
      <c r="O11" s="164"/>
      <c r="P11" s="164"/>
      <c r="Q11" s="164"/>
      <c r="R11" s="164"/>
      <c r="S11" s="164"/>
      <c r="T11" s="164"/>
      <c r="U11" s="164"/>
      <c r="V11" s="164"/>
      <c r="W11" s="164"/>
      <c r="X11" s="164"/>
      <c r="Y11" s="164"/>
    </row>
    <row r="12" spans="1:25" s="306" customFormat="1" ht="34.5" customHeight="1" x14ac:dyDescent="0.2">
      <c r="A12" s="164"/>
      <c r="B12" s="286" t="s">
        <v>575</v>
      </c>
      <c r="C12" s="1032" t="e">
        <f>IF('SITE SUMMARY'!G35="High",('DA1'!$D$80),0)</f>
        <v>#DIV/0!</v>
      </c>
      <c r="D12" s="1032" t="str">
        <f>IF($G$36="High",('DA1'!$D$80),"NA")</f>
        <v>NA</v>
      </c>
      <c r="E12" s="1032" t="str">
        <f>IF($G$36="High",('DA1'!$D$80),"NA")</f>
        <v>NA</v>
      </c>
      <c r="F12" s="1032" t="str">
        <f>IF($G$36="High",('DA1'!$D$80),"NA")</f>
        <v>NA</v>
      </c>
      <c r="G12" s="1032" t="str">
        <f>IF($G$36="High",('DA1'!$D$80),"NA")</f>
        <v>NA</v>
      </c>
      <c r="H12" s="1032" t="str">
        <f>IF($G$36="High",('DA1'!$D$80),"NA")</f>
        <v>NA</v>
      </c>
      <c r="I12" s="1032" t="str">
        <f>IF($G$36="High",('DA1'!$D$80),"NA")</f>
        <v>NA</v>
      </c>
      <c r="J12" s="1032" t="str">
        <f>IF($G$36="High",('DA1'!$D$80),"NA")</f>
        <v>NA</v>
      </c>
      <c r="K12" s="1032" t="str">
        <f>IF($G$36="High",('DA1'!$D$80),"NA")</f>
        <v>NA</v>
      </c>
      <c r="L12" s="1032" t="str">
        <f>IF($G$36="High",('DA1'!$D$80),"NA")</f>
        <v>NA</v>
      </c>
      <c r="M12" s="1033" t="str">
        <f>IF($G$36="High",('DA1'!$D$80),"NA")</f>
        <v>NA</v>
      </c>
      <c r="N12" s="1035"/>
      <c r="O12" s="164"/>
      <c r="P12" s="164"/>
      <c r="Q12" s="164"/>
      <c r="R12" s="164"/>
      <c r="S12" s="164"/>
      <c r="T12" s="164"/>
      <c r="U12" s="164"/>
      <c r="V12" s="164"/>
      <c r="W12" s="164"/>
      <c r="X12" s="164"/>
      <c r="Y12" s="164"/>
    </row>
    <row r="13" spans="1:25" s="306" customFormat="1" ht="60" x14ac:dyDescent="0.2">
      <c r="A13" s="164"/>
      <c r="B13" s="286" t="s">
        <v>583</v>
      </c>
      <c r="C13" s="364" t="s">
        <v>516</v>
      </c>
      <c r="D13" s="1038" t="s">
        <v>565</v>
      </c>
      <c r="E13" s="1039"/>
      <c r="F13" s="1039"/>
      <c r="G13" s="1026">
        <v>0</v>
      </c>
      <c r="H13" s="1027"/>
      <c r="I13" s="1028"/>
      <c r="J13" s="1029" t="s">
        <v>574</v>
      </c>
      <c r="K13" s="1030"/>
      <c r="L13" s="1030"/>
      <c r="M13" s="1031"/>
      <c r="N13" s="608" t="s">
        <v>582</v>
      </c>
      <c r="O13" s="164"/>
      <c r="P13" s="164"/>
      <c r="Q13" s="164"/>
      <c r="R13" s="164"/>
      <c r="S13" s="164"/>
      <c r="T13" s="164"/>
      <c r="U13" s="164"/>
      <c r="V13" s="164"/>
      <c r="W13" s="164"/>
      <c r="X13" s="164"/>
      <c r="Y13" s="164"/>
    </row>
    <row r="14" spans="1:25" s="306" customFormat="1" ht="24.95" customHeight="1" x14ac:dyDescent="0.2">
      <c r="A14" s="164"/>
      <c r="B14" s="1084" t="s">
        <v>320</v>
      </c>
      <c r="C14" s="1085"/>
      <c r="D14" s="1085"/>
      <c r="E14" s="1085"/>
      <c r="F14" s="1085"/>
      <c r="G14" s="1085"/>
      <c r="H14" s="1085"/>
      <c r="I14" s="1085"/>
      <c r="J14" s="1085"/>
      <c r="K14" s="1085"/>
      <c r="L14" s="1085"/>
      <c r="M14" s="1086"/>
      <c r="N14" s="368"/>
      <c r="O14" s="369"/>
      <c r="P14" s="369"/>
      <c r="Q14" s="369"/>
      <c r="R14" s="369"/>
      <c r="S14" s="369"/>
      <c r="T14" s="369"/>
      <c r="U14" s="164"/>
      <c r="V14" s="164"/>
      <c r="W14" s="164"/>
      <c r="X14" s="164"/>
      <c r="Y14" s="164"/>
    </row>
    <row r="15" spans="1:25" s="327" customFormat="1" ht="35.1" customHeight="1" x14ac:dyDescent="0.2">
      <c r="A15" s="326"/>
      <c r="B15" s="1089" t="s">
        <v>273</v>
      </c>
      <c r="C15" s="1090"/>
      <c r="D15" s="1093" t="s">
        <v>277</v>
      </c>
      <c r="E15" s="1093"/>
      <c r="F15" s="1093" t="s">
        <v>278</v>
      </c>
      <c r="G15" s="1093"/>
      <c r="H15" s="1093" t="s">
        <v>279</v>
      </c>
      <c r="I15" s="1093"/>
      <c r="J15" s="1093" t="s">
        <v>280</v>
      </c>
      <c r="K15" s="1093"/>
      <c r="L15" s="1093" t="s">
        <v>297</v>
      </c>
      <c r="M15" s="1115"/>
      <c r="N15" s="1119" t="s">
        <v>741</v>
      </c>
      <c r="O15" s="326"/>
      <c r="P15" s="326"/>
      <c r="Q15" s="326"/>
      <c r="R15" s="326"/>
      <c r="S15" s="326"/>
      <c r="T15" s="326"/>
      <c r="U15" s="326"/>
      <c r="V15" s="326"/>
      <c r="W15" s="326"/>
      <c r="X15" s="326"/>
      <c r="Y15" s="326"/>
    </row>
    <row r="16" spans="1:25" s="327" customFormat="1" x14ac:dyDescent="0.2">
      <c r="A16" s="326"/>
      <c r="B16" s="1089"/>
      <c r="C16" s="1090"/>
      <c r="D16" s="131" t="s">
        <v>281</v>
      </c>
      <c r="E16" s="131" t="s">
        <v>282</v>
      </c>
      <c r="F16" s="131" t="s">
        <v>281</v>
      </c>
      <c r="G16" s="131" t="s">
        <v>282</v>
      </c>
      <c r="H16" s="131" t="s">
        <v>281</v>
      </c>
      <c r="I16" s="131" t="s">
        <v>282</v>
      </c>
      <c r="J16" s="131" t="s">
        <v>281</v>
      </c>
      <c r="K16" s="131" t="s">
        <v>282</v>
      </c>
      <c r="L16" s="131" t="s">
        <v>281</v>
      </c>
      <c r="M16" s="240" t="s">
        <v>282</v>
      </c>
      <c r="N16" s="1119"/>
      <c r="O16" s="326"/>
      <c r="P16" s="326"/>
      <c r="Q16" s="326"/>
      <c r="R16" s="326"/>
      <c r="S16" s="326"/>
      <c r="T16" s="326"/>
      <c r="U16" s="326"/>
      <c r="V16" s="326"/>
      <c r="W16" s="326"/>
      <c r="X16" s="326"/>
      <c r="Y16" s="326"/>
    </row>
    <row r="17" spans="1:25" s="327" customFormat="1" ht="24.95" customHeight="1" x14ac:dyDescent="0.2">
      <c r="A17" s="326"/>
      <c r="B17" s="1091" t="s">
        <v>12</v>
      </c>
      <c r="C17" s="1092"/>
      <c r="D17" s="364"/>
      <c r="E17" s="364" t="s">
        <v>755</v>
      </c>
      <c r="F17" s="364"/>
      <c r="G17" s="364"/>
      <c r="H17" s="364"/>
      <c r="I17" s="364"/>
      <c r="J17" s="364"/>
      <c r="K17" s="364"/>
      <c r="L17" s="364"/>
      <c r="M17" s="365"/>
      <c r="N17" s="1119"/>
      <c r="O17" s="326"/>
      <c r="P17" s="326"/>
      <c r="Q17" s="326"/>
      <c r="R17" s="326"/>
      <c r="S17" s="326"/>
      <c r="T17" s="326"/>
      <c r="U17" s="326"/>
      <c r="V17" s="326"/>
      <c r="W17" s="326"/>
      <c r="X17" s="326"/>
      <c r="Y17" s="326"/>
    </row>
    <row r="18" spans="1:25" s="327" customFormat="1" ht="24.95" customHeight="1" x14ac:dyDescent="0.2">
      <c r="A18" s="326"/>
      <c r="B18" s="1091" t="s">
        <v>253</v>
      </c>
      <c r="C18" s="1092"/>
      <c r="D18" s="364"/>
      <c r="E18" s="364"/>
      <c r="F18" s="364"/>
      <c r="G18" s="364"/>
      <c r="H18" s="364"/>
      <c r="I18" s="364"/>
      <c r="J18" s="364"/>
      <c r="K18" s="364"/>
      <c r="L18" s="364"/>
      <c r="M18" s="365"/>
      <c r="N18" s="1119"/>
      <c r="O18" s="326"/>
      <c r="P18" s="326"/>
      <c r="Q18" s="326"/>
      <c r="R18" s="326"/>
      <c r="S18" s="326"/>
      <c r="T18" s="326"/>
      <c r="U18" s="326"/>
      <c r="V18" s="326"/>
      <c r="W18" s="326"/>
      <c r="X18" s="326"/>
      <c r="Y18" s="326"/>
    </row>
    <row r="19" spans="1:25" s="327" customFormat="1" ht="24.95" customHeight="1" x14ac:dyDescent="0.2">
      <c r="A19" s="326"/>
      <c r="B19" s="1091" t="s">
        <v>260</v>
      </c>
      <c r="C19" s="1092"/>
      <c r="D19" s="364"/>
      <c r="E19" s="364"/>
      <c r="F19" s="364"/>
      <c r="G19" s="364"/>
      <c r="H19" s="364"/>
      <c r="I19" s="364"/>
      <c r="J19" s="364"/>
      <c r="K19" s="364"/>
      <c r="L19" s="364"/>
      <c r="M19" s="365"/>
      <c r="N19" s="1119"/>
      <c r="O19" s="326"/>
      <c r="P19" s="326"/>
      <c r="Q19" s="326"/>
      <c r="R19" s="326"/>
      <c r="S19" s="326"/>
      <c r="T19" s="326"/>
      <c r="U19" s="326"/>
      <c r="V19" s="326"/>
      <c r="W19" s="326"/>
      <c r="X19" s="326"/>
      <c r="Y19" s="326"/>
    </row>
    <row r="20" spans="1:25" s="327" customFormat="1" ht="24.95" customHeight="1" x14ac:dyDescent="0.2">
      <c r="A20" s="326"/>
      <c r="B20" s="1091" t="s">
        <v>254</v>
      </c>
      <c r="C20" s="1092"/>
      <c r="D20" s="364" t="s">
        <v>755</v>
      </c>
      <c r="E20" s="364" t="s">
        <v>755</v>
      </c>
      <c r="F20" s="364"/>
      <c r="G20" s="364"/>
      <c r="H20" s="364"/>
      <c r="I20" s="364"/>
      <c r="J20" s="364"/>
      <c r="K20" s="364"/>
      <c r="L20" s="364"/>
      <c r="M20" s="365"/>
      <c r="N20" s="1119"/>
      <c r="O20" s="326"/>
      <c r="P20" s="326"/>
      <c r="Q20" s="326"/>
      <c r="R20" s="326"/>
      <c r="S20" s="326"/>
      <c r="T20" s="326"/>
      <c r="U20" s="326"/>
      <c r="V20" s="326"/>
      <c r="W20" s="326"/>
      <c r="X20" s="326"/>
      <c r="Y20" s="326"/>
    </row>
    <row r="21" spans="1:25" s="327" customFormat="1" ht="24.95" customHeight="1" x14ac:dyDescent="0.2">
      <c r="A21" s="326"/>
      <c r="B21" s="1091" t="s">
        <v>255</v>
      </c>
      <c r="C21" s="1092"/>
      <c r="D21" s="364"/>
      <c r="E21" s="364"/>
      <c r="F21" s="364"/>
      <c r="G21" s="364"/>
      <c r="H21" s="364"/>
      <c r="I21" s="364"/>
      <c r="J21" s="364"/>
      <c r="K21" s="364"/>
      <c r="L21" s="364"/>
      <c r="M21" s="365"/>
      <c r="N21" s="1119"/>
      <c r="O21" s="326"/>
      <c r="P21" s="326"/>
      <c r="Q21" s="326"/>
      <c r="R21" s="326"/>
      <c r="S21" s="326"/>
      <c r="T21" s="326"/>
      <c r="U21" s="326"/>
      <c r="V21" s="326"/>
      <c r="W21" s="326"/>
      <c r="X21" s="326"/>
      <c r="Y21" s="326"/>
    </row>
    <row r="22" spans="1:25" ht="24.95" customHeight="1" x14ac:dyDescent="0.2">
      <c r="B22" s="1091" t="s">
        <v>256</v>
      </c>
      <c r="C22" s="1092"/>
      <c r="D22" s="364"/>
      <c r="E22" s="364"/>
      <c r="F22" s="364"/>
      <c r="G22" s="364"/>
      <c r="H22" s="364"/>
      <c r="I22" s="364"/>
      <c r="J22" s="364"/>
      <c r="K22" s="364"/>
      <c r="L22" s="364"/>
      <c r="M22" s="365"/>
      <c r="N22" s="1119"/>
    </row>
    <row r="23" spans="1:25" ht="24.95" customHeight="1" x14ac:dyDescent="0.2">
      <c r="B23" s="1091" t="s">
        <v>257</v>
      </c>
      <c r="C23" s="1092"/>
      <c r="D23" s="364" t="s">
        <v>755</v>
      </c>
      <c r="E23" s="364"/>
      <c r="F23" s="364" t="s">
        <v>755</v>
      </c>
      <c r="G23" s="364"/>
      <c r="H23" s="364" t="s">
        <v>755</v>
      </c>
      <c r="I23" s="364"/>
      <c r="J23" s="364" t="s">
        <v>755</v>
      </c>
      <c r="K23" s="364" t="s">
        <v>755</v>
      </c>
      <c r="L23" s="364"/>
      <c r="M23" s="365"/>
      <c r="N23" s="370"/>
    </row>
    <row r="24" spans="1:25" ht="24.95" customHeight="1" x14ac:dyDescent="0.2">
      <c r="B24" s="1091" t="s">
        <v>245</v>
      </c>
      <c r="C24" s="1092"/>
      <c r="D24" s="364"/>
      <c r="E24" s="364"/>
      <c r="F24" s="364"/>
      <c r="G24" s="364"/>
      <c r="H24" s="364"/>
      <c r="I24" s="364"/>
      <c r="J24" s="364"/>
      <c r="K24" s="364"/>
      <c r="L24" s="364"/>
      <c r="M24" s="365"/>
      <c r="N24" s="370"/>
    </row>
    <row r="25" spans="1:25" ht="24.95" customHeight="1" x14ac:dyDescent="0.2">
      <c r="B25" s="1091" t="s">
        <v>44</v>
      </c>
      <c r="C25" s="1092"/>
      <c r="D25" s="364" t="s">
        <v>755</v>
      </c>
      <c r="E25" s="364" t="s">
        <v>755</v>
      </c>
      <c r="F25" s="364" t="s">
        <v>755</v>
      </c>
      <c r="G25" s="364"/>
      <c r="H25" s="364" t="s">
        <v>755</v>
      </c>
      <c r="I25" s="364"/>
      <c r="J25" s="364" t="s">
        <v>755</v>
      </c>
      <c r="K25" s="364" t="s">
        <v>755</v>
      </c>
      <c r="L25" s="364"/>
      <c r="M25" s="365"/>
      <c r="N25" s="446" t="str">
        <f>IF(SUM( D17:D25,F17:F25,H17:H25,J17:J25,L17:L25)=C9,"","DOES NOT MATCH SITE ACREAGES")</f>
        <v>DOES NOT MATCH SITE ACREAGES</v>
      </c>
    </row>
    <row r="26" spans="1:25" s="373" customFormat="1" ht="15.75" hidden="1" x14ac:dyDescent="0.25">
      <c r="A26" s="574"/>
      <c r="B26" s="371" t="s">
        <v>291</v>
      </c>
      <c r="C26" s="372"/>
      <c r="D26" s="315">
        <f>SUM(D17:D25)</f>
        <v>0</v>
      </c>
      <c r="E26" s="315">
        <f t="shared" ref="E26:M26" si="0">SUM(E17:E25)</f>
        <v>0</v>
      </c>
      <c r="F26" s="315">
        <f t="shared" si="0"/>
        <v>0</v>
      </c>
      <c r="G26" s="315">
        <f t="shared" si="0"/>
        <v>0</v>
      </c>
      <c r="H26" s="315">
        <f t="shared" si="0"/>
        <v>0</v>
      </c>
      <c r="I26" s="315">
        <f t="shared" si="0"/>
        <v>0</v>
      </c>
      <c r="J26" s="315">
        <f t="shared" si="0"/>
        <v>0</v>
      </c>
      <c r="K26" s="315">
        <f t="shared" si="0"/>
        <v>0</v>
      </c>
      <c r="L26" s="315">
        <f t="shared" si="0"/>
        <v>0</v>
      </c>
      <c r="M26" s="316">
        <f t="shared" si="0"/>
        <v>0</v>
      </c>
      <c r="N26" s="330"/>
      <c r="O26" s="294"/>
      <c r="P26" s="294"/>
      <c r="Q26" s="294"/>
      <c r="R26" s="294"/>
      <c r="S26" s="294"/>
      <c r="T26" s="294"/>
      <c r="U26" s="294"/>
      <c r="V26" s="294"/>
      <c r="W26" s="294"/>
      <c r="X26" s="294"/>
      <c r="Y26" s="294"/>
    </row>
    <row r="27" spans="1:25" s="306" customFormat="1" ht="15.75" x14ac:dyDescent="0.2">
      <c r="A27" s="164"/>
      <c r="B27" s="953" t="s">
        <v>286</v>
      </c>
      <c r="C27" s="954"/>
      <c r="D27" s="954"/>
      <c r="E27" s="954"/>
      <c r="F27" s="954"/>
      <c r="G27" s="954"/>
      <c r="H27" s="954"/>
      <c r="I27" s="954"/>
      <c r="J27" s="954"/>
      <c r="K27" s="954"/>
      <c r="L27" s="954"/>
      <c r="M27" s="955"/>
      <c r="N27" s="324"/>
      <c r="O27" s="164"/>
      <c r="P27" s="164"/>
      <c r="Q27" s="164"/>
      <c r="R27" s="164"/>
      <c r="S27" s="164"/>
      <c r="T27" s="164"/>
      <c r="U27" s="164"/>
      <c r="V27" s="164"/>
      <c r="W27" s="164"/>
      <c r="X27" s="164"/>
      <c r="Y27" s="164"/>
    </row>
    <row r="28" spans="1:25" s="158" customFormat="1" ht="79.5" customHeight="1" x14ac:dyDescent="0.2">
      <c r="A28" s="507"/>
      <c r="B28" s="374" t="s">
        <v>318</v>
      </c>
      <c r="C28" s="375" t="s">
        <v>284</v>
      </c>
      <c r="D28" s="1034" t="s">
        <v>568</v>
      </c>
      <c r="E28" s="1034"/>
      <c r="F28" s="1034"/>
      <c r="G28" s="1040" t="s">
        <v>567</v>
      </c>
      <c r="H28" s="1041"/>
      <c r="I28" s="1042"/>
      <c r="J28" s="614" t="s">
        <v>269</v>
      </c>
      <c r="K28" s="614" t="s">
        <v>491</v>
      </c>
      <c r="L28" s="614" t="s">
        <v>492</v>
      </c>
      <c r="M28" s="376" t="s">
        <v>322</v>
      </c>
      <c r="N28" s="377" t="s">
        <v>321</v>
      </c>
    </row>
    <row r="29" spans="1:25" ht="24.95" customHeight="1" x14ac:dyDescent="0.2">
      <c r="B29" s="562"/>
      <c r="C29" s="400"/>
      <c r="D29" s="1043" t="e">
        <f>IF('SITE SUMMARY'!$G$35="High",E151,"-")</f>
        <v>#DIV/0!</v>
      </c>
      <c r="E29" s="1044"/>
      <c r="F29" s="1045"/>
      <c r="G29" s="1120"/>
      <c r="H29" s="1121"/>
      <c r="I29" s="1122"/>
      <c r="J29" s="378">
        <f>IF(ISERROR(VLOOKUP(C29,BMP,2,FALSE)),0,VLOOKUP(C29,BMP,2,FALSE))</f>
        <v>0</v>
      </c>
      <c r="K29" s="584">
        <f>IF(ISERROR($E$114),0,$E$114)</f>
        <v>0</v>
      </c>
      <c r="L29" s="584">
        <f>IF(ISERROR(K29*J29),0,K29*J29)</f>
        <v>0</v>
      </c>
      <c r="M29" s="401"/>
      <c r="N29" s="377"/>
      <c r="O29" s="379"/>
      <c r="P29" s="379"/>
      <c r="Q29" s="379"/>
      <c r="R29" s="379"/>
      <c r="S29" s="379"/>
      <c r="T29" s="379"/>
    </row>
    <row r="30" spans="1:25" ht="24.95" customHeight="1" x14ac:dyDescent="0.2">
      <c r="B30" s="563"/>
      <c r="C30" s="400"/>
      <c r="D30" s="1046"/>
      <c r="E30" s="1047"/>
      <c r="F30" s="1048"/>
      <c r="G30" s="1123"/>
      <c r="H30" s="1124"/>
      <c r="I30" s="1125"/>
      <c r="J30" s="378">
        <f>IF(ISERROR(VLOOKUP(C30,BMP,2,FALSE)),0,VLOOKUP(C30,BMP,2,FALSE))</f>
        <v>0</v>
      </c>
      <c r="K30" s="584">
        <f>IF(ISERROR(K29-L29),0,K29-L29)</f>
        <v>0</v>
      </c>
      <c r="L30" s="584">
        <f>IF(ISERROR(K30*J30),0,K30*J30)</f>
        <v>0</v>
      </c>
      <c r="M30" s="401"/>
      <c r="N30" s="380"/>
    </row>
    <row r="31" spans="1:25" ht="24.95" customHeight="1" x14ac:dyDescent="0.2">
      <c r="B31" s="563"/>
      <c r="C31" s="400"/>
      <c r="D31" s="1046"/>
      <c r="E31" s="1047"/>
      <c r="F31" s="1048"/>
      <c r="G31" s="1123"/>
      <c r="H31" s="1124"/>
      <c r="I31" s="1125"/>
      <c r="J31" s="378">
        <f>IF(ISERROR(VLOOKUP(C31,BMP,2,FALSE)),0,VLOOKUP(C31,BMP,2,FALSE))</f>
        <v>0</v>
      </c>
      <c r="K31" s="584">
        <f>IF(ISERROR(K30-L30),0,K30-L30)</f>
        <v>0</v>
      </c>
      <c r="L31" s="584">
        <f>IF(ISERROR(K31*J31),0,K31*J31)</f>
        <v>0</v>
      </c>
      <c r="M31" s="401"/>
      <c r="N31" s="380"/>
    </row>
    <row r="32" spans="1:25" ht="24.95" customHeight="1" x14ac:dyDescent="0.2">
      <c r="B32" s="563"/>
      <c r="C32" s="400"/>
      <c r="D32" s="1046"/>
      <c r="E32" s="1047"/>
      <c r="F32" s="1048"/>
      <c r="G32" s="1123"/>
      <c r="H32" s="1124"/>
      <c r="I32" s="1125"/>
      <c r="J32" s="378">
        <f>IF(ISERROR(VLOOKUP(C32,BMP,2,FALSE)),0,VLOOKUP(C32,BMP,2,FALSE))</f>
        <v>0</v>
      </c>
      <c r="K32" s="584">
        <f>IF(ISERROR(K31-L31),0,K31-L31)</f>
        <v>0</v>
      </c>
      <c r="L32" s="584">
        <f>IF(ISERROR(K32*J32),0,K32*J32)</f>
        <v>0</v>
      </c>
      <c r="M32" s="401"/>
      <c r="N32" s="380"/>
    </row>
    <row r="33" spans="1:25" ht="24.95" customHeight="1" x14ac:dyDescent="0.2">
      <c r="B33" s="563"/>
      <c r="C33" s="400"/>
      <c r="D33" s="1049"/>
      <c r="E33" s="1050"/>
      <c r="F33" s="1051"/>
      <c r="G33" s="1126"/>
      <c r="H33" s="1127"/>
      <c r="I33" s="1128"/>
      <c r="J33" s="378">
        <f>IF(ISERROR(VLOOKUP(C33,BMP,2,FALSE)),0,VLOOKUP(C33,BMP,2,FALSE))</f>
        <v>0</v>
      </c>
      <c r="K33" s="584">
        <f>IF(ISERROR(K32-L32),0,K32-L32)</f>
        <v>0</v>
      </c>
      <c r="L33" s="584">
        <f>IF(ISERROR(K33*J33),0,K33*J33)</f>
        <v>0</v>
      </c>
      <c r="M33" s="401"/>
      <c r="N33" s="381"/>
    </row>
    <row r="34" spans="1:25" ht="24.95" customHeight="1" x14ac:dyDescent="0.2">
      <c r="B34" s="1052" t="s">
        <v>371</v>
      </c>
      <c r="C34" s="1053"/>
      <c r="D34" s="1054">
        <f>IF(J33&gt;0,K306-L33,IF(J32&gt;0,K32-L32,IF(J31&gt;0,K31-L31,IF(J30&gt;0,K30-L30,K29-L29))))</f>
        <v>0</v>
      </c>
      <c r="E34" s="1055"/>
      <c r="F34" s="1055"/>
      <c r="G34" s="1055"/>
      <c r="H34" s="1055"/>
      <c r="I34" s="1055"/>
      <c r="J34" s="1055"/>
      <c r="K34" s="1055"/>
      <c r="L34" s="1055"/>
      <c r="M34" s="1056"/>
      <c r="N34" s="382"/>
    </row>
    <row r="35" spans="1:25" s="306" customFormat="1" ht="24.95" customHeight="1" x14ac:dyDescent="0.2">
      <c r="A35" s="164"/>
      <c r="B35" s="953" t="s">
        <v>285</v>
      </c>
      <c r="C35" s="954"/>
      <c r="D35" s="954"/>
      <c r="E35" s="954"/>
      <c r="F35" s="954"/>
      <c r="G35" s="954"/>
      <c r="H35" s="954"/>
      <c r="I35" s="954"/>
      <c r="J35" s="954"/>
      <c r="K35" s="954"/>
      <c r="L35" s="954"/>
      <c r="M35" s="955"/>
      <c r="N35" s="382"/>
      <c r="O35" s="164"/>
      <c r="P35" s="164"/>
      <c r="Q35" s="164"/>
      <c r="R35" s="164"/>
      <c r="S35" s="164"/>
      <c r="T35" s="164"/>
      <c r="U35" s="164"/>
      <c r="V35" s="164"/>
      <c r="W35" s="164"/>
      <c r="X35" s="164"/>
      <c r="Y35" s="164"/>
    </row>
    <row r="36" spans="1:25" s="158" customFormat="1" ht="39.75" customHeight="1" x14ac:dyDescent="0.2">
      <c r="A36" s="507"/>
      <c r="B36" s="1019" t="s">
        <v>584</v>
      </c>
      <c r="C36" s="1020"/>
      <c r="D36" s="1057"/>
      <c r="E36" s="1058"/>
      <c r="F36" s="1058"/>
      <c r="G36" s="1058"/>
      <c r="H36" s="1058"/>
      <c r="I36" s="1058"/>
      <c r="J36" s="1058"/>
      <c r="K36" s="1058"/>
      <c r="L36" s="1058"/>
      <c r="M36" s="1059"/>
      <c r="N36" s="382"/>
    </row>
    <row r="37" spans="1:25" s="158" customFormat="1" ht="39.75" hidden="1" customHeight="1" x14ac:dyDescent="0.2">
      <c r="A37" s="507"/>
      <c r="B37" s="1019" t="s">
        <v>585</v>
      </c>
      <c r="C37" s="1020"/>
      <c r="D37" s="1129"/>
      <c r="E37" s="1130"/>
      <c r="F37" s="1130"/>
      <c r="G37" s="1130"/>
      <c r="H37" s="1130"/>
      <c r="I37" s="1130"/>
      <c r="J37" s="1130"/>
      <c r="K37" s="1130"/>
      <c r="L37" s="1130"/>
      <c r="M37" s="1131"/>
      <c r="N37" s="382"/>
    </row>
    <row r="38" spans="1:25" s="158" customFormat="1" ht="79.5" customHeight="1" x14ac:dyDescent="0.2">
      <c r="A38" s="507"/>
      <c r="B38" s="374" t="s">
        <v>318</v>
      </c>
      <c r="C38" s="375" t="s">
        <v>284</v>
      </c>
      <c r="D38" s="1034" t="s">
        <v>568</v>
      </c>
      <c r="E38" s="1034"/>
      <c r="F38" s="1034"/>
      <c r="G38" s="1034" t="s">
        <v>490</v>
      </c>
      <c r="H38" s="1034"/>
      <c r="I38" s="1034"/>
      <c r="J38" s="614" t="s">
        <v>269</v>
      </c>
      <c r="K38" s="614" t="s">
        <v>491</v>
      </c>
      <c r="L38" s="614" t="s">
        <v>492</v>
      </c>
      <c r="M38" s="376" t="s">
        <v>322</v>
      </c>
      <c r="N38" s="382"/>
    </row>
    <row r="39" spans="1:25" ht="24.95" customHeight="1" x14ac:dyDescent="0.2">
      <c r="B39" s="399" t="s">
        <v>755</v>
      </c>
      <c r="C39" s="400"/>
      <c r="D39" s="1043" t="e">
        <f>IF('SITE SUMMARY'!$G$35="High",E155,"-")</f>
        <v>#DIV/0!</v>
      </c>
      <c r="E39" s="1044"/>
      <c r="F39" s="1045"/>
      <c r="G39" s="1060" t="s">
        <v>755</v>
      </c>
      <c r="H39" s="1061"/>
      <c r="I39" s="1062"/>
      <c r="J39" s="378">
        <f>IF(ISERROR(VLOOKUP(C39,BMP,2,FALSE)),0,VLOOKUP(C39,BMP,2,FALSE))</f>
        <v>0</v>
      </c>
      <c r="K39" s="584">
        <f>IF(ISERROR($F$114),D36,$F$114+D36)</f>
        <v>0</v>
      </c>
      <c r="L39" s="584">
        <f>IF(ISERROR(K39*J39),0,K39*J39)</f>
        <v>0</v>
      </c>
      <c r="M39" s="401" t="s">
        <v>755</v>
      </c>
      <c r="N39" s="382"/>
      <c r="O39" s="379"/>
      <c r="P39" s="379"/>
      <c r="Q39" s="379"/>
      <c r="R39" s="379"/>
      <c r="S39" s="379"/>
      <c r="T39" s="379"/>
    </row>
    <row r="40" spans="1:25" ht="24.95" customHeight="1" x14ac:dyDescent="0.2">
      <c r="B40" s="399"/>
      <c r="C40" s="400"/>
      <c r="D40" s="1046"/>
      <c r="E40" s="1047"/>
      <c r="F40" s="1048"/>
      <c r="G40" s="1063"/>
      <c r="H40" s="1064"/>
      <c r="I40" s="1065"/>
      <c r="J40" s="378">
        <f>IF(ISERROR(VLOOKUP(C40,BMP,2,FALSE)),0,VLOOKUP(C40,BMP,2,FALSE))</f>
        <v>0</v>
      </c>
      <c r="K40" s="584">
        <f>IF(ISERROR(K39-L39),0,K39-L39)</f>
        <v>0</v>
      </c>
      <c r="L40" s="584">
        <f>IF(ISERROR(K40*J40),0,K40*J40)</f>
        <v>0</v>
      </c>
      <c r="M40" s="401"/>
      <c r="N40" s="382"/>
    </row>
    <row r="41" spans="1:25" ht="24.75" customHeight="1" x14ac:dyDescent="0.2">
      <c r="B41" s="399"/>
      <c r="C41" s="400"/>
      <c r="D41" s="1046"/>
      <c r="E41" s="1047"/>
      <c r="F41" s="1048"/>
      <c r="G41" s="1063"/>
      <c r="H41" s="1064"/>
      <c r="I41" s="1065"/>
      <c r="J41" s="378">
        <f>IF(ISERROR(VLOOKUP(C41,BMP,2,FALSE)),0,VLOOKUP(C41,BMP,2,FALSE))</f>
        <v>0</v>
      </c>
      <c r="K41" s="584">
        <f>IF(ISERROR(K40-L40),0,K40-L40)</f>
        <v>0</v>
      </c>
      <c r="L41" s="584">
        <f>IF(ISERROR(K41*J41),0,K41*J41)</f>
        <v>0</v>
      </c>
      <c r="M41" s="401"/>
      <c r="N41" s="382"/>
    </row>
    <row r="42" spans="1:25" ht="24.95" customHeight="1" x14ac:dyDescent="0.2">
      <c r="B42" s="399"/>
      <c r="C42" s="400"/>
      <c r="D42" s="1046"/>
      <c r="E42" s="1047"/>
      <c r="F42" s="1048"/>
      <c r="G42" s="1063"/>
      <c r="H42" s="1064"/>
      <c r="I42" s="1065"/>
      <c r="J42" s="378">
        <f>IF(ISERROR(VLOOKUP(C42,BMP,2,FALSE)),0,VLOOKUP(C42,BMP,2,FALSE))</f>
        <v>0</v>
      </c>
      <c r="K42" s="584">
        <f>IF(ISERROR(K41-L41),0,K41-L41)</f>
        <v>0</v>
      </c>
      <c r="L42" s="584">
        <f>IF(ISERROR(K42*J42),0,K42*J42)</f>
        <v>0</v>
      </c>
      <c r="M42" s="401"/>
      <c r="N42" s="382"/>
    </row>
    <row r="43" spans="1:25" ht="24.95" customHeight="1" x14ac:dyDescent="0.2">
      <c r="B43" s="399"/>
      <c r="C43" s="400"/>
      <c r="D43" s="1049"/>
      <c r="E43" s="1050"/>
      <c r="F43" s="1051"/>
      <c r="G43" s="1066"/>
      <c r="H43" s="1067"/>
      <c r="I43" s="1068"/>
      <c r="J43" s="378">
        <f>IF(ISERROR(VLOOKUP(C43,BMP,2,FALSE)),0,VLOOKUP(C43,BMP,2,FALSE))</f>
        <v>0</v>
      </c>
      <c r="K43" s="584">
        <f>IF(ISERROR(K42-L42),0,K42-L42)</f>
        <v>0</v>
      </c>
      <c r="L43" s="584">
        <f>IF(ISERROR(K43*J43),0,K43*J43)</f>
        <v>0</v>
      </c>
      <c r="M43" s="401"/>
      <c r="N43" s="381"/>
    </row>
    <row r="44" spans="1:25" ht="24.95" customHeight="1" x14ac:dyDescent="0.2">
      <c r="B44" s="1052" t="s">
        <v>371</v>
      </c>
      <c r="C44" s="1053"/>
      <c r="D44" s="1054">
        <f>IF(J43&gt;0,K43-L43,IF(J42&gt;0,K42-L42,IF(J41&gt;0,K41-L41,IF(J40&gt;0,K40-L40,K39-L39))))</f>
        <v>0</v>
      </c>
      <c r="E44" s="1055"/>
      <c r="F44" s="1055"/>
      <c r="G44" s="1055"/>
      <c r="H44" s="1055"/>
      <c r="I44" s="1055"/>
      <c r="J44" s="1055"/>
      <c r="K44" s="1055"/>
      <c r="L44" s="1055"/>
      <c r="M44" s="1056"/>
      <c r="N44" s="382"/>
    </row>
    <row r="45" spans="1:25" s="306" customFormat="1" ht="24.95" customHeight="1" x14ac:dyDescent="0.2">
      <c r="A45" s="164"/>
      <c r="B45" s="953" t="s">
        <v>298</v>
      </c>
      <c r="C45" s="954"/>
      <c r="D45" s="954"/>
      <c r="E45" s="954"/>
      <c r="F45" s="954"/>
      <c r="G45" s="954"/>
      <c r="H45" s="954"/>
      <c r="I45" s="954"/>
      <c r="J45" s="954"/>
      <c r="K45" s="954"/>
      <c r="L45" s="954"/>
      <c r="M45" s="955"/>
      <c r="N45" s="382"/>
      <c r="O45" s="164"/>
      <c r="P45" s="164"/>
      <c r="Q45" s="164"/>
      <c r="R45" s="164"/>
      <c r="S45" s="164"/>
      <c r="T45" s="164"/>
      <c r="U45" s="164"/>
      <c r="V45" s="164"/>
      <c r="W45" s="164"/>
      <c r="X45" s="164"/>
      <c r="Y45" s="164"/>
    </row>
    <row r="46" spans="1:25" s="158" customFormat="1" ht="39.950000000000003" customHeight="1" x14ac:dyDescent="0.2">
      <c r="A46" s="507"/>
      <c r="B46" s="1019" t="s">
        <v>586</v>
      </c>
      <c r="C46" s="1020"/>
      <c r="D46" s="1057"/>
      <c r="E46" s="1058"/>
      <c r="F46" s="1058"/>
      <c r="G46" s="1058"/>
      <c r="H46" s="1058"/>
      <c r="I46" s="1058"/>
      <c r="J46" s="1058"/>
      <c r="K46" s="1058"/>
      <c r="L46" s="1058"/>
      <c r="M46" s="1059"/>
      <c r="N46" s="382"/>
    </row>
    <row r="47" spans="1:25" s="158" customFormat="1" ht="39.950000000000003" hidden="1" customHeight="1" x14ac:dyDescent="0.2">
      <c r="A47" s="507"/>
      <c r="B47" s="1019" t="s">
        <v>587</v>
      </c>
      <c r="C47" s="1020"/>
      <c r="D47" s="1129"/>
      <c r="E47" s="1130"/>
      <c r="F47" s="1130"/>
      <c r="G47" s="1130"/>
      <c r="H47" s="1130"/>
      <c r="I47" s="1130"/>
      <c r="J47" s="1130"/>
      <c r="K47" s="1130"/>
      <c r="L47" s="1130"/>
      <c r="M47" s="1131"/>
      <c r="N47" s="382"/>
    </row>
    <row r="48" spans="1:25" s="158" customFormat="1" ht="79.5" customHeight="1" x14ac:dyDescent="0.2">
      <c r="A48" s="507"/>
      <c r="B48" s="374" t="s">
        <v>318</v>
      </c>
      <c r="C48" s="375" t="s">
        <v>284</v>
      </c>
      <c r="D48" s="1034" t="s">
        <v>568</v>
      </c>
      <c r="E48" s="1034"/>
      <c r="F48" s="1034"/>
      <c r="G48" s="1040" t="s">
        <v>490</v>
      </c>
      <c r="H48" s="1041"/>
      <c r="I48" s="1042"/>
      <c r="J48" s="614" t="s">
        <v>269</v>
      </c>
      <c r="K48" s="614" t="s">
        <v>491</v>
      </c>
      <c r="L48" s="614" t="s">
        <v>492</v>
      </c>
      <c r="M48" s="376" t="s">
        <v>322</v>
      </c>
      <c r="N48" s="382"/>
    </row>
    <row r="49" spans="1:25" ht="24.95" customHeight="1" x14ac:dyDescent="0.2">
      <c r="B49" s="399" t="s">
        <v>755</v>
      </c>
      <c r="C49" s="400"/>
      <c r="D49" s="1043" t="e">
        <f>IF('SITE SUMMARY'!$G$35="High",E159,"-")</f>
        <v>#DIV/0!</v>
      </c>
      <c r="E49" s="1044"/>
      <c r="F49" s="1045"/>
      <c r="G49" s="1060" t="s">
        <v>755</v>
      </c>
      <c r="H49" s="1061"/>
      <c r="I49" s="1062"/>
      <c r="J49" s="378">
        <f>IF(ISERROR(VLOOKUP(C49,BMP,2,FALSE)),0,VLOOKUP(C49,BMP,2,FALSE))</f>
        <v>0</v>
      </c>
      <c r="K49" s="584">
        <f>IF(ISERROR($G$114),D46,$G$114+D46)</f>
        <v>0</v>
      </c>
      <c r="L49" s="584">
        <f>IF(ISERROR(K49*J49),0,K49*J49)</f>
        <v>0</v>
      </c>
      <c r="M49" s="401" t="s">
        <v>755</v>
      </c>
      <c r="N49" s="382"/>
      <c r="O49" s="379"/>
      <c r="P49" s="379"/>
      <c r="Q49" s="379"/>
      <c r="R49" s="379"/>
      <c r="S49" s="379"/>
      <c r="T49" s="379"/>
    </row>
    <row r="50" spans="1:25" ht="24.95" customHeight="1" x14ac:dyDescent="0.2">
      <c r="B50" s="399"/>
      <c r="C50" s="400"/>
      <c r="D50" s="1046"/>
      <c r="E50" s="1047"/>
      <c r="F50" s="1048"/>
      <c r="G50" s="1063"/>
      <c r="H50" s="1064"/>
      <c r="I50" s="1065"/>
      <c r="J50" s="378">
        <f>IF(ISERROR(VLOOKUP(C50,BMP,2,FALSE)),0,VLOOKUP(C50,BMP,2,FALSE))</f>
        <v>0</v>
      </c>
      <c r="K50" s="584">
        <f>IF(ISERROR(K49-L49),0,K49-L49)</f>
        <v>0</v>
      </c>
      <c r="L50" s="584">
        <f>IF(ISERROR(K50*J50),0,K50*J50)</f>
        <v>0</v>
      </c>
      <c r="M50" s="401"/>
      <c r="N50" s="382"/>
    </row>
    <row r="51" spans="1:25" ht="24.95" customHeight="1" x14ac:dyDescent="0.2">
      <c r="B51" s="399"/>
      <c r="C51" s="400"/>
      <c r="D51" s="1046"/>
      <c r="E51" s="1047"/>
      <c r="F51" s="1048"/>
      <c r="G51" s="1063"/>
      <c r="H51" s="1064"/>
      <c r="I51" s="1065"/>
      <c r="J51" s="378">
        <f>IF(ISERROR(VLOOKUP(C51,BMP,2,FALSE)),0,VLOOKUP(C51,BMP,2,FALSE))</f>
        <v>0</v>
      </c>
      <c r="K51" s="584">
        <f>IF(ISERROR(K50-L50),0,K50-L50)</f>
        <v>0</v>
      </c>
      <c r="L51" s="584">
        <f>IF(ISERROR(K51*J51),0,K51*J51)</f>
        <v>0</v>
      </c>
      <c r="M51" s="401"/>
      <c r="N51" s="382"/>
    </row>
    <row r="52" spans="1:25" ht="24.95" customHeight="1" x14ac:dyDescent="0.2">
      <c r="B52" s="399"/>
      <c r="C52" s="400"/>
      <c r="D52" s="1046"/>
      <c r="E52" s="1047"/>
      <c r="F52" s="1048"/>
      <c r="G52" s="1063"/>
      <c r="H52" s="1064"/>
      <c r="I52" s="1065"/>
      <c r="J52" s="378">
        <f>IF(ISERROR(VLOOKUP(C52,BMP,2,FALSE)),0,VLOOKUP(C52,BMP,2,FALSE))</f>
        <v>0</v>
      </c>
      <c r="K52" s="584">
        <f>IF(ISERROR(K51-L51),0,K51-L51)</f>
        <v>0</v>
      </c>
      <c r="L52" s="584">
        <f>IF(ISERROR(K52*J52),0,K52*J52)</f>
        <v>0</v>
      </c>
      <c r="M52" s="401"/>
      <c r="N52" s="382"/>
    </row>
    <row r="53" spans="1:25" ht="24.95" customHeight="1" x14ac:dyDescent="0.2">
      <c r="B53" s="399"/>
      <c r="C53" s="400"/>
      <c r="D53" s="1049"/>
      <c r="E53" s="1050"/>
      <c r="F53" s="1051"/>
      <c r="G53" s="1066"/>
      <c r="H53" s="1067"/>
      <c r="I53" s="1068"/>
      <c r="J53" s="378">
        <f>IF(ISERROR(VLOOKUP(C53,BMP,2,FALSE)),0,VLOOKUP(C53,BMP,2,FALSE))</f>
        <v>0</v>
      </c>
      <c r="K53" s="584">
        <f>IF(ISERROR(K52-L52),0,K52-L52)</f>
        <v>0</v>
      </c>
      <c r="L53" s="584">
        <f>IF(ISERROR(K53*J53),0,K53*J53)</f>
        <v>0</v>
      </c>
      <c r="M53" s="401"/>
      <c r="N53" s="381" t="e">
        <f>IF(G49&gt;(D49+5),"Exceeds Available Volume!","")</f>
        <v>#DIV/0!</v>
      </c>
    </row>
    <row r="54" spans="1:25" ht="24.95" customHeight="1" x14ac:dyDescent="0.2">
      <c r="B54" s="1052" t="s">
        <v>371</v>
      </c>
      <c r="C54" s="1053"/>
      <c r="D54" s="1054">
        <f>IF(J53&gt;0,K326-L53,IF(J52&gt;0,K52-L52,IF(J51&gt;0,K51-L51,IF(J50&gt;0,K50-L50,K49-L49))))</f>
        <v>0</v>
      </c>
      <c r="E54" s="1055"/>
      <c r="F54" s="1055"/>
      <c r="G54" s="1055"/>
      <c r="H54" s="1055"/>
      <c r="I54" s="1055"/>
      <c r="J54" s="1055"/>
      <c r="K54" s="1055"/>
      <c r="L54" s="1055"/>
      <c r="M54" s="1056"/>
      <c r="N54" s="382"/>
    </row>
    <row r="55" spans="1:25" s="306" customFormat="1" ht="24.95" customHeight="1" x14ac:dyDescent="0.2">
      <c r="A55" s="164"/>
      <c r="B55" s="953" t="s">
        <v>287</v>
      </c>
      <c r="C55" s="954"/>
      <c r="D55" s="954"/>
      <c r="E55" s="954"/>
      <c r="F55" s="954"/>
      <c r="G55" s="954"/>
      <c r="H55" s="954"/>
      <c r="I55" s="954"/>
      <c r="J55" s="954"/>
      <c r="K55" s="954"/>
      <c r="L55" s="954"/>
      <c r="M55" s="955"/>
      <c r="N55" s="382"/>
      <c r="O55" s="164"/>
      <c r="P55" s="164"/>
      <c r="Q55" s="164"/>
      <c r="R55" s="164"/>
      <c r="S55" s="164"/>
      <c r="T55" s="164"/>
      <c r="U55" s="164"/>
      <c r="V55" s="164"/>
      <c r="W55" s="164"/>
      <c r="X55" s="164"/>
      <c r="Y55" s="164"/>
    </row>
    <row r="56" spans="1:25" s="158" customFormat="1" ht="39.75" customHeight="1" x14ac:dyDescent="0.2">
      <c r="A56" s="507"/>
      <c r="B56" s="1019" t="s">
        <v>499</v>
      </c>
      <c r="C56" s="1020"/>
      <c r="D56" s="1057"/>
      <c r="E56" s="1058"/>
      <c r="F56" s="1058"/>
      <c r="G56" s="1058"/>
      <c r="H56" s="1058"/>
      <c r="I56" s="1058"/>
      <c r="J56" s="1058"/>
      <c r="K56" s="1058"/>
      <c r="L56" s="1058"/>
      <c r="M56" s="1059"/>
      <c r="N56" s="382"/>
    </row>
    <row r="57" spans="1:25" s="158" customFormat="1" ht="39.75" hidden="1" customHeight="1" x14ac:dyDescent="0.2">
      <c r="A57" s="507"/>
      <c r="B57" s="1019" t="s">
        <v>500</v>
      </c>
      <c r="C57" s="1020"/>
      <c r="D57" s="1129"/>
      <c r="E57" s="1130"/>
      <c r="F57" s="1130"/>
      <c r="G57" s="1130"/>
      <c r="H57" s="1130"/>
      <c r="I57" s="1130"/>
      <c r="J57" s="1130"/>
      <c r="K57" s="1130"/>
      <c r="L57" s="1130"/>
      <c r="M57" s="1131"/>
      <c r="N57" s="382"/>
    </row>
    <row r="58" spans="1:25" s="158" customFormat="1" ht="79.5" customHeight="1" x14ac:dyDescent="0.2">
      <c r="A58" s="507"/>
      <c r="B58" s="374" t="s">
        <v>318</v>
      </c>
      <c r="C58" s="375" t="s">
        <v>284</v>
      </c>
      <c r="D58" s="1034" t="s">
        <v>568</v>
      </c>
      <c r="E58" s="1034"/>
      <c r="F58" s="1034"/>
      <c r="G58" s="1040" t="s">
        <v>490</v>
      </c>
      <c r="H58" s="1041"/>
      <c r="I58" s="1042"/>
      <c r="J58" s="614" t="s">
        <v>269</v>
      </c>
      <c r="K58" s="614" t="s">
        <v>491</v>
      </c>
      <c r="L58" s="614" t="s">
        <v>492</v>
      </c>
      <c r="M58" s="376" t="s">
        <v>322</v>
      </c>
      <c r="N58" s="382"/>
    </row>
    <row r="59" spans="1:25" ht="24.95" customHeight="1" x14ac:dyDescent="0.2">
      <c r="B59" s="399" t="s">
        <v>755</v>
      </c>
      <c r="C59" s="400"/>
      <c r="D59" s="1043" t="e">
        <f>IF('SITE SUMMARY'!$G$35="High",E163,"-")</f>
        <v>#DIV/0!</v>
      </c>
      <c r="E59" s="1044"/>
      <c r="F59" s="1045"/>
      <c r="G59" s="1060" t="s">
        <v>755</v>
      </c>
      <c r="H59" s="1061"/>
      <c r="I59" s="1062"/>
      <c r="J59" s="378">
        <f>IF(ISERROR(VLOOKUP(C59,BMP,2,FALSE)),0,VLOOKUP(C59,BMP,2,FALSE))</f>
        <v>0</v>
      </c>
      <c r="K59" s="584">
        <f>IF(ISERROR($H$114),D56,$H$114+D56)</f>
        <v>0</v>
      </c>
      <c r="L59" s="584">
        <f>IF(ISERROR(K59*J59),0,K59*J59)</f>
        <v>0</v>
      </c>
      <c r="M59" s="401" t="s">
        <v>755</v>
      </c>
      <c r="N59" s="382"/>
      <c r="O59" s="379"/>
      <c r="P59" s="379"/>
      <c r="Q59" s="379"/>
      <c r="R59" s="379"/>
      <c r="S59" s="379"/>
      <c r="T59" s="379"/>
    </row>
    <row r="60" spans="1:25" ht="24.95" customHeight="1" x14ac:dyDescent="0.2">
      <c r="B60" s="399"/>
      <c r="C60" s="400"/>
      <c r="D60" s="1046"/>
      <c r="E60" s="1047"/>
      <c r="F60" s="1048"/>
      <c r="G60" s="1063"/>
      <c r="H60" s="1064"/>
      <c r="I60" s="1065"/>
      <c r="J60" s="378">
        <f>IF(ISERROR(VLOOKUP(C60,BMP,2,FALSE)),0,VLOOKUP(C60,BMP,2,FALSE))</f>
        <v>0</v>
      </c>
      <c r="K60" s="584">
        <f>IF(ISERROR(K59-L59),0,K59-L59)</f>
        <v>0</v>
      </c>
      <c r="L60" s="584">
        <f>IF(ISERROR(K60*J60),0,K60*J60)</f>
        <v>0</v>
      </c>
      <c r="M60" s="401"/>
      <c r="N60" s="382"/>
    </row>
    <row r="61" spans="1:25" ht="24.95" customHeight="1" x14ac:dyDescent="0.2">
      <c r="B61" s="399"/>
      <c r="C61" s="400"/>
      <c r="D61" s="1046"/>
      <c r="E61" s="1047"/>
      <c r="F61" s="1048"/>
      <c r="G61" s="1063"/>
      <c r="H61" s="1064"/>
      <c r="I61" s="1065"/>
      <c r="J61" s="378">
        <f>IF(ISERROR(VLOOKUP(C61,BMP,2,FALSE)),0,VLOOKUP(C61,BMP,2,FALSE))</f>
        <v>0</v>
      </c>
      <c r="K61" s="584">
        <f>IF(ISERROR(K60-L60),0,K60-L60)</f>
        <v>0</v>
      </c>
      <c r="L61" s="584">
        <f>IF(ISERROR(K61*J61),0,K61*J61)</f>
        <v>0</v>
      </c>
      <c r="M61" s="401"/>
      <c r="N61" s="382"/>
    </row>
    <row r="62" spans="1:25" ht="24.95" customHeight="1" x14ac:dyDescent="0.2">
      <c r="B62" s="399"/>
      <c r="C62" s="400"/>
      <c r="D62" s="1046"/>
      <c r="E62" s="1047"/>
      <c r="F62" s="1048"/>
      <c r="G62" s="1063"/>
      <c r="H62" s="1064"/>
      <c r="I62" s="1065"/>
      <c r="J62" s="378">
        <f>IF(ISERROR(VLOOKUP(C62,BMP,2,FALSE)),0,VLOOKUP(C62,BMP,2,FALSE))</f>
        <v>0</v>
      </c>
      <c r="K62" s="584">
        <f>IF(ISERROR(K61-L61),0,K61-L61)</f>
        <v>0</v>
      </c>
      <c r="L62" s="584">
        <f>IF(ISERROR(K62*J62),0,K62*J62)</f>
        <v>0</v>
      </c>
      <c r="M62" s="401"/>
      <c r="N62" s="382"/>
    </row>
    <row r="63" spans="1:25" ht="24.95" customHeight="1" x14ac:dyDescent="0.2">
      <c r="B63" s="399"/>
      <c r="C63" s="400"/>
      <c r="D63" s="1049"/>
      <c r="E63" s="1050"/>
      <c r="F63" s="1051"/>
      <c r="G63" s="1066"/>
      <c r="H63" s="1067"/>
      <c r="I63" s="1068"/>
      <c r="J63" s="378">
        <f>IF(ISERROR(VLOOKUP(C63,BMP,2,FALSE)),0,VLOOKUP(C63,BMP,2,FALSE))</f>
        <v>0</v>
      </c>
      <c r="K63" s="584">
        <f>IF(ISERROR(K62-L62),0,K62-L62)</f>
        <v>0</v>
      </c>
      <c r="L63" s="584">
        <f>IF(ISERROR(K63*J63),0,K63*J63)</f>
        <v>0</v>
      </c>
      <c r="M63" s="401"/>
      <c r="N63" s="381" t="e">
        <f>IF(G59&gt;(D59+5),"Exceeds Available Volume!","")</f>
        <v>#DIV/0!</v>
      </c>
    </row>
    <row r="64" spans="1:25" ht="24.95" customHeight="1" x14ac:dyDescent="0.2">
      <c r="B64" s="1052" t="s">
        <v>371</v>
      </c>
      <c r="C64" s="1053"/>
      <c r="D64" s="1054">
        <f>IF(J63&gt;0,K63-L63,IF(J62&gt;0,K62-L62,IF(J61&gt;0,K61-L61,IF(J60&gt;0,K60-L60,K59-L59))))</f>
        <v>0</v>
      </c>
      <c r="E64" s="1055"/>
      <c r="F64" s="1055"/>
      <c r="G64" s="1055"/>
      <c r="H64" s="1055"/>
      <c r="I64" s="1055"/>
      <c r="J64" s="1055"/>
      <c r="K64" s="1055"/>
      <c r="L64" s="1055"/>
      <c r="M64" s="1056"/>
      <c r="N64" s="382"/>
    </row>
    <row r="65" spans="1:25" s="306" customFormat="1" ht="24.95" customHeight="1" x14ac:dyDescent="0.2">
      <c r="A65" s="164"/>
      <c r="B65" s="953" t="s">
        <v>372</v>
      </c>
      <c r="C65" s="954"/>
      <c r="D65" s="954"/>
      <c r="E65" s="954"/>
      <c r="F65" s="954"/>
      <c r="G65" s="954"/>
      <c r="H65" s="954"/>
      <c r="I65" s="954"/>
      <c r="J65" s="954"/>
      <c r="K65" s="954"/>
      <c r="L65" s="954"/>
      <c r="M65" s="955"/>
      <c r="N65" s="334"/>
      <c r="O65" s="164"/>
      <c r="P65" s="164"/>
      <c r="Q65" s="164"/>
      <c r="R65" s="164"/>
      <c r="S65" s="164"/>
      <c r="T65" s="164"/>
      <c r="U65" s="164"/>
      <c r="V65" s="164"/>
      <c r="W65" s="164"/>
      <c r="X65" s="164"/>
      <c r="Y65" s="164"/>
    </row>
    <row r="66" spans="1:25" s="158" customFormat="1" ht="39.950000000000003" customHeight="1" x14ac:dyDescent="0.2">
      <c r="A66" s="507"/>
      <c r="B66" s="1019" t="s">
        <v>373</v>
      </c>
      <c r="C66" s="1020"/>
      <c r="D66" s="1057"/>
      <c r="E66" s="1058"/>
      <c r="F66" s="1058"/>
      <c r="G66" s="1058"/>
      <c r="H66" s="1058"/>
      <c r="I66" s="1058"/>
      <c r="J66" s="1058"/>
      <c r="K66" s="1058"/>
      <c r="L66" s="1058"/>
      <c r="M66" s="1059"/>
      <c r="N66" s="382"/>
    </row>
    <row r="67" spans="1:25" s="158" customFormat="1" ht="39.950000000000003" hidden="1" customHeight="1" x14ac:dyDescent="0.2">
      <c r="A67" s="507"/>
      <c r="B67" s="1019" t="s">
        <v>501</v>
      </c>
      <c r="C67" s="1020"/>
      <c r="D67" s="1129"/>
      <c r="E67" s="1130"/>
      <c r="F67" s="1130"/>
      <c r="G67" s="1130"/>
      <c r="H67" s="1130"/>
      <c r="I67" s="1130"/>
      <c r="J67" s="1130"/>
      <c r="K67" s="1130"/>
      <c r="L67" s="1130"/>
      <c r="M67" s="1131"/>
      <c r="N67" s="382"/>
    </row>
    <row r="68" spans="1:25" s="158" customFormat="1" ht="79.5" customHeight="1" x14ac:dyDescent="0.2">
      <c r="A68" s="507"/>
      <c r="B68" s="374" t="s">
        <v>318</v>
      </c>
      <c r="C68" s="375" t="s">
        <v>284</v>
      </c>
      <c r="D68" s="1034" t="s">
        <v>568</v>
      </c>
      <c r="E68" s="1034"/>
      <c r="F68" s="1034"/>
      <c r="G68" s="1034" t="s">
        <v>490</v>
      </c>
      <c r="H68" s="1034"/>
      <c r="I68" s="1034"/>
      <c r="J68" s="614" t="s">
        <v>269</v>
      </c>
      <c r="K68" s="614" t="s">
        <v>491</v>
      </c>
      <c r="L68" s="614" t="s">
        <v>492</v>
      </c>
      <c r="M68" s="376" t="s">
        <v>322</v>
      </c>
      <c r="N68" s="382"/>
    </row>
    <row r="69" spans="1:25" ht="24.95" customHeight="1" x14ac:dyDescent="0.2">
      <c r="B69" s="399"/>
      <c r="C69" s="400"/>
      <c r="D69" s="1043" t="e">
        <f>IF('SITE SUMMARY'!$G$35="High",E167,"-")</f>
        <v>#DIV/0!</v>
      </c>
      <c r="E69" s="1044"/>
      <c r="F69" s="1045"/>
      <c r="G69" s="1060"/>
      <c r="H69" s="1061"/>
      <c r="I69" s="1062"/>
      <c r="J69" s="378">
        <f>IF(ISERROR(VLOOKUP(C69,BMP,2,FALSE)),0,VLOOKUP(C69,BMP,2,FALSE))</f>
        <v>0</v>
      </c>
      <c r="K69" s="584">
        <f>IF(ISERROR($I$114),D66,$I$114+D66)</f>
        <v>0</v>
      </c>
      <c r="L69" s="584">
        <f>IF(ISERROR(K69*J69),0,K69*J69)</f>
        <v>0</v>
      </c>
      <c r="M69" s="401"/>
      <c r="N69" s="382"/>
      <c r="O69" s="379"/>
      <c r="P69" s="379"/>
      <c r="Q69" s="379"/>
      <c r="R69" s="379"/>
      <c r="S69" s="379"/>
      <c r="T69" s="379"/>
    </row>
    <row r="70" spans="1:25" ht="24.95" customHeight="1" x14ac:dyDescent="0.2">
      <c r="B70" s="399"/>
      <c r="C70" s="400"/>
      <c r="D70" s="1046"/>
      <c r="E70" s="1047"/>
      <c r="F70" s="1048"/>
      <c r="G70" s="1063"/>
      <c r="H70" s="1064"/>
      <c r="I70" s="1065"/>
      <c r="J70" s="378">
        <f>IF(ISERROR(VLOOKUP(C70,BMP,2,FALSE)),0,VLOOKUP(C70,BMP,2,FALSE))</f>
        <v>0</v>
      </c>
      <c r="K70" s="584">
        <f>IF(ISERROR(K69-L69),0,K69-L69)</f>
        <v>0</v>
      </c>
      <c r="L70" s="584">
        <f>IF(ISERROR(K70*J70),0,K70*J70)</f>
        <v>0</v>
      </c>
      <c r="M70" s="401"/>
      <c r="N70" s="382"/>
    </row>
    <row r="71" spans="1:25" ht="24.95" customHeight="1" x14ac:dyDescent="0.2">
      <c r="B71" s="399"/>
      <c r="C71" s="400"/>
      <c r="D71" s="1046"/>
      <c r="E71" s="1047"/>
      <c r="F71" s="1048"/>
      <c r="G71" s="1063"/>
      <c r="H71" s="1064"/>
      <c r="I71" s="1065"/>
      <c r="J71" s="378">
        <f>IF(ISERROR(VLOOKUP(C71,BMP,2,FALSE)),0,VLOOKUP(C71,BMP,2,FALSE))</f>
        <v>0</v>
      </c>
      <c r="K71" s="584">
        <f>IF(ISERROR(K70-L70),0,K70-L70)</f>
        <v>0</v>
      </c>
      <c r="L71" s="584">
        <f>IF(ISERROR(K71*J71),0,K71*J71)</f>
        <v>0</v>
      </c>
      <c r="M71" s="401"/>
      <c r="N71" s="382"/>
    </row>
    <row r="72" spans="1:25" ht="24.95" customHeight="1" x14ac:dyDescent="0.2">
      <c r="B72" s="399"/>
      <c r="C72" s="400"/>
      <c r="D72" s="1046"/>
      <c r="E72" s="1047"/>
      <c r="F72" s="1048"/>
      <c r="G72" s="1063"/>
      <c r="H72" s="1064"/>
      <c r="I72" s="1065"/>
      <c r="J72" s="378">
        <f>IF(ISERROR(VLOOKUP(C72,BMP,2,FALSE)),0,VLOOKUP(C72,BMP,2,FALSE))</f>
        <v>0</v>
      </c>
      <c r="K72" s="584">
        <f>IF(ISERROR(K71-L71),0,K71-L71)</f>
        <v>0</v>
      </c>
      <c r="L72" s="584">
        <f>IF(ISERROR(K72*J72),0,K72*J72)</f>
        <v>0</v>
      </c>
      <c r="M72" s="401"/>
      <c r="N72" s="382"/>
    </row>
    <row r="73" spans="1:25" ht="24.95" customHeight="1" x14ac:dyDescent="0.2">
      <c r="B73" s="399"/>
      <c r="C73" s="400"/>
      <c r="D73" s="1049"/>
      <c r="E73" s="1050"/>
      <c r="F73" s="1051"/>
      <c r="G73" s="1066"/>
      <c r="H73" s="1067"/>
      <c r="I73" s="1068"/>
      <c r="J73" s="378">
        <f>IF(ISERROR(VLOOKUP(C73,BMP,2,FALSE)),0,VLOOKUP(C73,BMP,2,FALSE))</f>
        <v>0</v>
      </c>
      <c r="K73" s="584">
        <f>IF(ISERROR(K72-L72),0,K72-L72)</f>
        <v>0</v>
      </c>
      <c r="L73" s="584">
        <f>IF(ISERROR(K73*J73),0,K73*J73)</f>
        <v>0</v>
      </c>
      <c r="M73" s="401"/>
      <c r="N73" s="381" t="e">
        <f>IF(G69&gt;(D69+5),"Exceeds Available Volume!","")</f>
        <v>#DIV/0!</v>
      </c>
    </row>
    <row r="74" spans="1:25" ht="24.95" customHeight="1" x14ac:dyDescent="0.2">
      <c r="B74" s="1052" t="s">
        <v>371</v>
      </c>
      <c r="C74" s="1053"/>
      <c r="D74" s="1054">
        <f>IF(J73&gt;0,K73-L73,IF(J72&gt;0,K72-L72,IF(J71&gt;0,K71-L71,IF(J70&gt;0,K70-L70,K69-L69))))</f>
        <v>0</v>
      </c>
      <c r="E74" s="1055"/>
      <c r="F74" s="1055"/>
      <c r="G74" s="1055"/>
      <c r="H74" s="1055"/>
      <c r="I74" s="1055"/>
      <c r="J74" s="1055"/>
      <c r="K74" s="1055"/>
      <c r="L74" s="1055"/>
      <c r="M74" s="1056"/>
      <c r="N74" s="382"/>
    </row>
    <row r="75" spans="1:25" ht="24.95" customHeight="1" x14ac:dyDescent="0.2">
      <c r="B75" s="1116" t="s">
        <v>427</v>
      </c>
      <c r="C75" s="1117"/>
      <c r="D75" s="1117"/>
      <c r="E75" s="1117"/>
      <c r="F75" s="1117"/>
      <c r="G75" s="1117"/>
      <c r="H75" s="1117"/>
      <c r="I75" s="1117"/>
      <c r="J75" s="1117"/>
      <c r="K75" s="1117"/>
      <c r="L75" s="1117"/>
      <c r="M75" s="1118"/>
      <c r="N75" s="1132" t="s">
        <v>422</v>
      </c>
    </row>
    <row r="76" spans="1:25" ht="24.95" customHeight="1" x14ac:dyDescent="0.2">
      <c r="B76" s="1110" t="s">
        <v>493</v>
      </c>
      <c r="C76" s="1111"/>
      <c r="D76" s="1112" t="e">
        <f>G29+G39+G49+G59+G69</f>
        <v>#VALUE!</v>
      </c>
      <c r="E76" s="1113"/>
      <c r="F76" s="1113"/>
      <c r="G76" s="1113"/>
      <c r="H76" s="1113"/>
      <c r="I76" s="1113"/>
      <c r="J76" s="1113"/>
      <c r="K76" s="1113"/>
      <c r="L76" s="1113"/>
      <c r="M76" s="1114"/>
      <c r="N76" s="1132"/>
    </row>
    <row r="77" spans="1:25" ht="24.95" customHeight="1" x14ac:dyDescent="0.2">
      <c r="B77" s="1069" t="s">
        <v>338</v>
      </c>
      <c r="C77" s="884"/>
      <c r="D77" s="1070">
        <f>SUM(L29:L33,L39:L43,L49:L53,L59:L63,L69:L73)</f>
        <v>0</v>
      </c>
      <c r="E77" s="1070"/>
      <c r="F77" s="1070"/>
      <c r="G77" s="1070"/>
      <c r="H77" s="1070"/>
      <c r="I77" s="1070"/>
      <c r="J77" s="1070"/>
      <c r="K77" s="1070"/>
      <c r="L77" s="1070"/>
      <c r="M77" s="1071"/>
      <c r="N77" s="1132"/>
    </row>
    <row r="78" spans="1:25" ht="24.95" customHeight="1" x14ac:dyDescent="0.2">
      <c r="B78" s="1099" t="s">
        <v>337</v>
      </c>
      <c r="C78" s="1100"/>
      <c r="D78" s="1100"/>
      <c r="E78" s="1100"/>
      <c r="F78" s="1100"/>
      <c r="G78" s="1100"/>
      <c r="H78" s="1100"/>
      <c r="I78" s="1100"/>
      <c r="J78" s="1100"/>
      <c r="K78" s="1100"/>
      <c r="L78" s="1100"/>
      <c r="M78" s="1101"/>
      <c r="N78" s="1132"/>
    </row>
    <row r="79" spans="1:25" ht="24.95" customHeight="1" x14ac:dyDescent="0.2">
      <c r="B79" s="883" t="s">
        <v>465</v>
      </c>
      <c r="C79" s="884"/>
      <c r="D79" s="1072" t="e">
        <f>IF(('DA1'!H83-D76)&lt;0,0,'DA1'!H83-D76)</f>
        <v>#VALUE!</v>
      </c>
      <c r="E79" s="1072"/>
      <c r="F79" s="1072"/>
      <c r="G79" s="1072"/>
      <c r="H79" s="1072"/>
      <c r="I79" s="1072"/>
      <c r="J79" s="1072"/>
      <c r="K79" s="1072"/>
      <c r="L79" s="1072"/>
      <c r="M79" s="1073"/>
      <c r="N79" s="1132"/>
    </row>
    <row r="80" spans="1:25" ht="24.95" customHeight="1" x14ac:dyDescent="0.2">
      <c r="B80" s="1069" t="s">
        <v>428</v>
      </c>
      <c r="C80" s="884"/>
      <c r="D80" s="1074" t="e">
        <f>((((D79)/(C9*43560)))*12)</f>
        <v>#VALUE!</v>
      </c>
      <c r="E80" s="1074"/>
      <c r="F80" s="1074"/>
      <c r="G80" s="1074"/>
      <c r="H80" s="1074"/>
      <c r="I80" s="1074"/>
      <c r="J80" s="1074"/>
      <c r="K80" s="1074"/>
      <c r="L80" s="1074"/>
      <c r="M80" s="1075"/>
      <c r="N80" s="1132"/>
    </row>
    <row r="81" spans="1:14" ht="24.95" customHeight="1" x14ac:dyDescent="0.2">
      <c r="B81" s="1069" t="s">
        <v>429</v>
      </c>
      <c r="C81" s="884"/>
      <c r="D81" s="1076">
        <f>IF(ISERROR(VLOOKUP($D$80,CN,2,TRUE)),0,VLOOKUP($D$80,CN,2,TRUE))</f>
        <v>0</v>
      </c>
      <c r="E81" s="1076"/>
      <c r="F81" s="1076"/>
      <c r="G81" s="1076"/>
      <c r="H81" s="1076"/>
      <c r="I81" s="1076"/>
      <c r="J81" s="1076"/>
      <c r="K81" s="1076"/>
      <c r="L81" s="1076"/>
      <c r="M81" s="1077"/>
      <c r="N81" s="1132"/>
    </row>
    <row r="82" spans="1:14" ht="33.75" customHeight="1" x14ac:dyDescent="0.2">
      <c r="B82" s="1069" t="s">
        <v>353</v>
      </c>
      <c r="C82" s="884"/>
      <c r="D82" s="1102" t="s">
        <v>755</v>
      </c>
      <c r="E82" s="1103"/>
      <c r="F82" s="1103"/>
      <c r="G82" s="1103"/>
      <c r="H82" s="1103"/>
      <c r="I82" s="1103"/>
      <c r="J82" s="1103"/>
      <c r="K82" s="1103"/>
      <c r="L82" s="1103"/>
      <c r="M82" s="1104"/>
      <c r="N82" s="1132"/>
    </row>
    <row r="83" spans="1:14" ht="24.95" customHeight="1" x14ac:dyDescent="0.2">
      <c r="B83" s="1099" t="s">
        <v>374</v>
      </c>
      <c r="C83" s="1100"/>
      <c r="D83" s="1100"/>
      <c r="E83" s="1100"/>
      <c r="F83" s="1100"/>
      <c r="G83" s="1100"/>
      <c r="H83" s="1100"/>
      <c r="I83" s="1100"/>
      <c r="J83" s="1100"/>
      <c r="K83" s="1100"/>
      <c r="L83" s="1100"/>
      <c r="M83" s="1101"/>
      <c r="N83" s="1132"/>
    </row>
    <row r="84" spans="1:14" ht="24.95" customHeight="1" x14ac:dyDescent="0.2">
      <c r="B84" s="883" t="s">
        <v>416</v>
      </c>
      <c r="C84" s="884"/>
      <c r="D84" s="1072" t="e">
        <f>IF(('DA1'!H88-D76)&lt;0,0,'DA1'!H88-D76)</f>
        <v>#VALUE!</v>
      </c>
      <c r="E84" s="1072"/>
      <c r="F84" s="1072"/>
      <c r="G84" s="1072"/>
      <c r="H84" s="1072"/>
      <c r="I84" s="1072"/>
      <c r="J84" s="1072"/>
      <c r="K84" s="1072"/>
      <c r="L84" s="1072"/>
      <c r="M84" s="1073"/>
      <c r="N84" s="1132"/>
    </row>
    <row r="85" spans="1:14" ht="24.95" customHeight="1" x14ac:dyDescent="0.2">
      <c r="B85" s="1105" t="s">
        <v>430</v>
      </c>
      <c r="C85" s="1106"/>
      <c r="D85" s="1074" t="e">
        <f>((D84/(C9*43560)))*12</f>
        <v>#VALUE!</v>
      </c>
      <c r="E85" s="1074"/>
      <c r="F85" s="1074"/>
      <c r="G85" s="1074"/>
      <c r="H85" s="1074"/>
      <c r="I85" s="1074"/>
      <c r="J85" s="1074"/>
      <c r="K85" s="1074"/>
      <c r="L85" s="1074"/>
      <c r="M85" s="1075"/>
      <c r="N85" s="1132"/>
    </row>
    <row r="86" spans="1:14" ht="24.95" customHeight="1" x14ac:dyDescent="0.2">
      <c r="B86" s="1069" t="s">
        <v>431</v>
      </c>
      <c r="C86" s="884"/>
      <c r="D86" s="1076">
        <f>IF(ISERROR(VLOOKUP(D85,CN2YR,2,TRUE)),0,VLOOKUP(D85,CN2YR,2,TRUE))</f>
        <v>0</v>
      </c>
      <c r="E86" s="1076"/>
      <c r="F86" s="1076"/>
      <c r="G86" s="1076"/>
      <c r="H86" s="1076"/>
      <c r="I86" s="1076"/>
      <c r="J86" s="1076"/>
      <c r="K86" s="1076"/>
      <c r="L86" s="1076"/>
      <c r="M86" s="1077"/>
      <c r="N86" s="1132"/>
    </row>
    <row r="87" spans="1:14" ht="33.75" customHeight="1" x14ac:dyDescent="0.2">
      <c r="B87" s="1069" t="s">
        <v>410</v>
      </c>
      <c r="C87" s="884"/>
      <c r="D87" s="1102" t="s">
        <v>755</v>
      </c>
      <c r="E87" s="1103"/>
      <c r="F87" s="1103"/>
      <c r="G87" s="1103"/>
      <c r="H87" s="1103"/>
      <c r="I87" s="1103"/>
      <c r="J87" s="1103"/>
      <c r="K87" s="1103"/>
      <c r="L87" s="1103"/>
      <c r="M87" s="1104"/>
      <c r="N87" s="1132"/>
    </row>
    <row r="88" spans="1:14" ht="24.95" customHeight="1" x14ac:dyDescent="0.2">
      <c r="B88" s="1099" t="s">
        <v>376</v>
      </c>
      <c r="C88" s="1100"/>
      <c r="D88" s="1100"/>
      <c r="E88" s="1100"/>
      <c r="F88" s="1100"/>
      <c r="G88" s="1100"/>
      <c r="H88" s="1100"/>
      <c r="I88" s="1100"/>
      <c r="J88" s="1100"/>
      <c r="K88" s="1100"/>
      <c r="L88" s="1100"/>
      <c r="M88" s="1101"/>
      <c r="N88" s="1132"/>
    </row>
    <row r="89" spans="1:14" s="169" customFormat="1" ht="24.95" hidden="1" customHeight="1" x14ac:dyDescent="0.2">
      <c r="A89" s="216"/>
      <c r="B89" s="1097" t="s">
        <v>417</v>
      </c>
      <c r="C89" s="1098"/>
      <c r="D89" s="1078" t="e">
        <f>('DA1'!H91/12)*('DA1'!H10*43560)</f>
        <v>#VALUE!</v>
      </c>
      <c r="E89" s="1079"/>
      <c r="F89" s="1079"/>
      <c r="G89" s="1079"/>
      <c r="H89" s="1079"/>
      <c r="I89" s="1079"/>
      <c r="J89" s="1079"/>
      <c r="K89" s="1079"/>
      <c r="L89" s="1079"/>
      <c r="M89" s="1080"/>
      <c r="N89" s="1132"/>
    </row>
    <row r="90" spans="1:14" ht="24.95" customHeight="1" x14ac:dyDescent="0.2">
      <c r="B90" s="883" t="s">
        <v>466</v>
      </c>
      <c r="C90" s="884"/>
      <c r="D90" s="1072" t="e">
        <f>IF(('DA1'!H92-D76)&lt;0,0,'DA1'!H92-D76)</f>
        <v>#VALUE!</v>
      </c>
      <c r="E90" s="1072"/>
      <c r="F90" s="1072"/>
      <c r="G90" s="1072"/>
      <c r="H90" s="1072"/>
      <c r="I90" s="1072"/>
      <c r="J90" s="1072"/>
      <c r="K90" s="1072"/>
      <c r="L90" s="1072"/>
      <c r="M90" s="1073"/>
      <c r="N90" s="1132"/>
    </row>
    <row r="91" spans="1:14" ht="24.95" customHeight="1" x14ac:dyDescent="0.2">
      <c r="B91" s="1069" t="s">
        <v>432</v>
      </c>
      <c r="C91" s="884"/>
      <c r="D91" s="1074" t="e">
        <f>((D90/(C9*43560)))*12</f>
        <v>#VALUE!</v>
      </c>
      <c r="E91" s="1074"/>
      <c r="F91" s="1074"/>
      <c r="G91" s="1074"/>
      <c r="H91" s="1074"/>
      <c r="I91" s="1074"/>
      <c r="J91" s="1074"/>
      <c r="K91" s="1074"/>
      <c r="L91" s="1074"/>
      <c r="M91" s="1075"/>
      <c r="N91" s="1132"/>
    </row>
    <row r="92" spans="1:14" ht="24.95" customHeight="1" x14ac:dyDescent="0.2">
      <c r="B92" s="1105" t="s">
        <v>433</v>
      </c>
      <c r="C92" s="1106"/>
      <c r="D92" s="1076">
        <f>IF(ISERROR(VLOOKUP(D91,CN2YR,2,TRUE)),0,VLOOKUP(D91,CN2YR,2,TRUE))</f>
        <v>0</v>
      </c>
      <c r="E92" s="1076"/>
      <c r="F92" s="1076"/>
      <c r="G92" s="1076"/>
      <c r="H92" s="1076"/>
      <c r="I92" s="1076"/>
      <c r="J92" s="1076"/>
      <c r="K92" s="1076"/>
      <c r="L92" s="1076"/>
      <c r="M92" s="1077"/>
      <c r="N92" s="1132"/>
    </row>
    <row r="93" spans="1:14" ht="33.75" customHeight="1" thickBot="1" x14ac:dyDescent="0.25">
      <c r="B93" s="1021" t="s">
        <v>412</v>
      </c>
      <c r="C93" s="1022"/>
      <c r="D93" s="1023" t="s">
        <v>755</v>
      </c>
      <c r="E93" s="1024"/>
      <c r="F93" s="1024"/>
      <c r="G93" s="1024"/>
      <c r="H93" s="1024"/>
      <c r="I93" s="1024"/>
      <c r="J93" s="1024"/>
      <c r="K93" s="1024"/>
      <c r="L93" s="1024"/>
      <c r="M93" s="1025"/>
      <c r="N93" s="1132"/>
    </row>
    <row r="94" spans="1:14" s="158" customFormat="1" x14ac:dyDescent="0.2">
      <c r="A94" s="507"/>
      <c r="K94" s="363"/>
    </row>
    <row r="95" spans="1:14" s="158" customFormat="1" hidden="1" x14ac:dyDescent="0.2">
      <c r="A95" s="507"/>
      <c r="K95" s="363"/>
    </row>
    <row r="96" spans="1:14" s="158" customFormat="1" hidden="1" x14ac:dyDescent="0.2">
      <c r="A96" s="507"/>
      <c r="K96" s="363"/>
    </row>
    <row r="97" spans="1:25" s="158" customFormat="1" hidden="1" x14ac:dyDescent="0.2">
      <c r="A97" s="507"/>
      <c r="K97" s="363"/>
    </row>
    <row r="98" spans="1:25" s="158" customFormat="1" hidden="1" x14ac:dyDescent="0.2">
      <c r="A98" s="507"/>
      <c r="K98" s="363"/>
      <c r="N98" s="344"/>
    </row>
    <row r="99" spans="1:25" s="383" customFormat="1" ht="15.75" hidden="1" x14ac:dyDescent="0.25">
      <c r="A99" s="508"/>
      <c r="B99" s="313" t="s">
        <v>126</v>
      </c>
      <c r="K99" s="449"/>
    </row>
    <row r="100" spans="1:25" hidden="1" x14ac:dyDescent="0.2">
      <c r="B100" s="158"/>
      <c r="C100" s="158"/>
      <c r="D100" s="158"/>
      <c r="E100" s="158"/>
      <c r="F100" s="158"/>
      <c r="G100" s="158"/>
      <c r="H100" s="158"/>
      <c r="I100" s="158"/>
      <c r="J100" s="158"/>
      <c r="K100" s="363"/>
      <c r="L100" s="158"/>
      <c r="M100" s="158"/>
      <c r="N100" s="347"/>
    </row>
    <row r="101" spans="1:25" hidden="1" x14ac:dyDescent="0.2">
      <c r="B101" s="158"/>
      <c r="C101" s="158"/>
      <c r="D101" s="158"/>
      <c r="E101" s="158"/>
      <c r="F101" s="158"/>
      <c r="G101" s="158"/>
      <c r="H101" s="158"/>
      <c r="I101" s="158"/>
      <c r="J101" s="158"/>
      <c r="K101" s="363"/>
      <c r="L101" s="158"/>
      <c r="M101" s="158"/>
      <c r="N101" s="347"/>
    </row>
    <row r="102" spans="1:25" ht="18" hidden="1" x14ac:dyDescent="0.25">
      <c r="B102" s="384" t="s">
        <v>276</v>
      </c>
      <c r="C102" s="384"/>
      <c r="D102" s="384"/>
      <c r="E102" s="384"/>
      <c r="F102" s="384"/>
      <c r="G102" s="384"/>
      <c r="H102" s="384"/>
      <c r="I102" s="384"/>
      <c r="J102" s="384"/>
      <c r="K102" s="384"/>
      <c r="L102" s="384"/>
      <c r="M102" s="384"/>
      <c r="N102" s="347"/>
    </row>
    <row r="103" spans="1:25" hidden="1" x14ac:dyDescent="0.2">
      <c r="B103" s="158"/>
      <c r="C103" s="158"/>
      <c r="D103" s="158"/>
      <c r="E103" s="158"/>
      <c r="F103" s="158"/>
      <c r="G103" s="158"/>
      <c r="H103" s="158"/>
      <c r="I103" s="158"/>
      <c r="J103" s="158"/>
      <c r="K103" s="363"/>
      <c r="L103" s="158"/>
      <c r="M103" s="158"/>
      <c r="N103" s="347"/>
    </row>
    <row r="104" spans="1:25" ht="47.25" hidden="1" x14ac:dyDescent="0.2">
      <c r="B104" s="385" t="s">
        <v>273</v>
      </c>
      <c r="C104" s="386"/>
      <c r="D104" s="560" t="s">
        <v>553</v>
      </c>
      <c r="E104" s="559" t="s">
        <v>554</v>
      </c>
      <c r="F104" s="559" t="s">
        <v>555</v>
      </c>
      <c r="G104" s="559" t="s">
        <v>556</v>
      </c>
      <c r="H104" s="561" t="s">
        <v>557</v>
      </c>
      <c r="I104" s="561" t="s">
        <v>558</v>
      </c>
      <c r="J104" s="507"/>
      <c r="K104" s="507"/>
      <c r="L104" s="609"/>
      <c r="M104" s="507"/>
      <c r="N104" s="507"/>
      <c r="O104" s="507"/>
      <c r="P104" s="507"/>
      <c r="Q104" s="507"/>
      <c r="R104" s="507"/>
      <c r="S104" s="507"/>
      <c r="T104" s="507"/>
      <c r="U104" s="507"/>
      <c r="V104" s="507"/>
      <c r="W104" s="507"/>
      <c r="X104" s="161"/>
      <c r="Y104" s="161"/>
    </row>
    <row r="105" spans="1:25" hidden="1" x14ac:dyDescent="0.2">
      <c r="B105" s="557" t="s">
        <v>12</v>
      </c>
      <c r="C105" s="387"/>
      <c r="D105" s="556">
        <v>1.2</v>
      </c>
      <c r="E105" s="388">
        <f>(SUM(D17:E17))*$D$105</f>
        <v>0</v>
      </c>
      <c r="F105" s="388">
        <f t="shared" ref="F105:F112" si="1">(SUM(F17:G17))*D105</f>
        <v>0</v>
      </c>
      <c r="G105" s="388">
        <f t="shared" ref="G105:G112" si="2">(SUM(H17:I17))*D105</f>
        <v>0</v>
      </c>
      <c r="H105" s="388">
        <f t="shared" ref="H105:H112" si="3">(SUM(J17:K17))*D105</f>
        <v>0</v>
      </c>
      <c r="I105" s="388">
        <f t="shared" ref="I105:I112" si="4">(SUM(L17:M17))*D105</f>
        <v>0</v>
      </c>
      <c r="J105" s="507"/>
      <c r="K105" s="507"/>
      <c r="L105" s="611" t="s">
        <v>515</v>
      </c>
      <c r="M105" s="507"/>
      <c r="N105" s="507"/>
      <c r="O105" s="507"/>
      <c r="P105" s="507"/>
      <c r="Q105" s="507"/>
      <c r="R105" s="507"/>
      <c r="S105" s="507"/>
      <c r="T105" s="507"/>
      <c r="U105" s="507"/>
      <c r="V105" s="507"/>
      <c r="W105" s="507"/>
      <c r="X105" s="161"/>
      <c r="Y105" s="161"/>
    </row>
    <row r="106" spans="1:25" hidden="1" x14ac:dyDescent="0.2">
      <c r="B106" s="557" t="s">
        <v>253</v>
      </c>
      <c r="C106" s="387"/>
      <c r="D106" s="556">
        <v>1.6</v>
      </c>
      <c r="E106" s="388">
        <f>(SUM(D18:E18))*$D$106</f>
        <v>0</v>
      </c>
      <c r="F106" s="388">
        <f t="shared" si="1"/>
        <v>0</v>
      </c>
      <c r="G106" s="388">
        <f t="shared" si="2"/>
        <v>0</v>
      </c>
      <c r="H106" s="388">
        <f t="shared" si="3"/>
        <v>0</v>
      </c>
      <c r="I106" s="388">
        <f t="shared" si="4"/>
        <v>0</v>
      </c>
      <c r="J106" s="507"/>
      <c r="K106" s="507"/>
      <c r="L106" s="610" t="s">
        <v>516</v>
      </c>
      <c r="M106" s="507"/>
      <c r="N106" s="507"/>
      <c r="O106" s="507"/>
      <c r="P106" s="507"/>
      <c r="Q106" s="507"/>
      <c r="R106" s="507"/>
      <c r="S106" s="507"/>
      <c r="T106" s="507"/>
      <c r="U106" s="507"/>
      <c r="V106" s="507"/>
      <c r="W106" s="507"/>
      <c r="X106" s="161"/>
      <c r="Y106" s="161"/>
    </row>
    <row r="107" spans="1:25" hidden="1" x14ac:dyDescent="0.2">
      <c r="B107" s="557" t="s">
        <v>258</v>
      </c>
      <c r="C107" s="387"/>
      <c r="D107" s="556">
        <v>1.2</v>
      </c>
      <c r="E107" s="388">
        <f>(SUM(D19:E19))*$D$107</f>
        <v>0</v>
      </c>
      <c r="F107" s="388">
        <f t="shared" si="1"/>
        <v>0</v>
      </c>
      <c r="G107" s="388">
        <f t="shared" si="2"/>
        <v>0</v>
      </c>
      <c r="H107" s="388">
        <f t="shared" si="3"/>
        <v>0</v>
      </c>
      <c r="I107" s="388">
        <f t="shared" si="4"/>
        <v>0</v>
      </c>
      <c r="J107" s="507"/>
      <c r="K107" s="507"/>
      <c r="L107" s="610"/>
      <c r="M107" s="507"/>
      <c r="N107" s="507"/>
      <c r="O107" s="507"/>
      <c r="P107" s="507"/>
      <c r="Q107" s="507"/>
      <c r="R107" s="507"/>
      <c r="S107" s="507"/>
      <c r="T107" s="507"/>
      <c r="U107" s="507"/>
      <c r="V107" s="507"/>
      <c r="W107" s="507"/>
      <c r="X107" s="161"/>
      <c r="Y107" s="161"/>
    </row>
    <row r="108" spans="1:25" hidden="1" x14ac:dyDescent="0.2">
      <c r="B108" s="557" t="s">
        <v>254</v>
      </c>
      <c r="C108" s="387"/>
      <c r="D108" s="556">
        <v>0.8</v>
      </c>
      <c r="E108" s="388">
        <f>(SUM(D20:E20))*$D$108</f>
        <v>0</v>
      </c>
      <c r="F108" s="388">
        <f t="shared" si="1"/>
        <v>0</v>
      </c>
      <c r="G108" s="388">
        <f t="shared" si="2"/>
        <v>0</v>
      </c>
      <c r="H108" s="388">
        <f t="shared" si="3"/>
        <v>0</v>
      </c>
      <c r="I108" s="388">
        <f t="shared" si="4"/>
        <v>0</v>
      </c>
      <c r="J108" s="507"/>
      <c r="K108" s="507"/>
      <c r="L108" s="523"/>
      <c r="M108" s="507"/>
      <c r="N108" s="507"/>
      <c r="O108" s="507"/>
      <c r="P108" s="507"/>
      <c r="Q108" s="507"/>
      <c r="R108" s="507"/>
      <c r="S108" s="507"/>
      <c r="T108" s="507"/>
      <c r="U108" s="507"/>
      <c r="V108" s="507"/>
      <c r="W108" s="507"/>
      <c r="X108" s="161"/>
      <c r="Y108" s="161"/>
    </row>
    <row r="109" spans="1:25" hidden="1" x14ac:dyDescent="0.2">
      <c r="B109" s="557" t="s">
        <v>255</v>
      </c>
      <c r="C109" s="387"/>
      <c r="D109" s="389">
        <v>1</v>
      </c>
      <c r="E109" s="388">
        <f>(SUM(D21:E21))*$D$109</f>
        <v>0</v>
      </c>
      <c r="F109" s="388">
        <f t="shared" si="1"/>
        <v>0</v>
      </c>
      <c r="G109" s="388">
        <f t="shared" si="2"/>
        <v>0</v>
      </c>
      <c r="H109" s="388">
        <f t="shared" si="3"/>
        <v>0</v>
      </c>
      <c r="I109" s="388">
        <f t="shared" si="4"/>
        <v>0</v>
      </c>
      <c r="J109" s="507"/>
      <c r="K109" s="507"/>
      <c r="L109" s="523"/>
      <c r="M109" s="507"/>
      <c r="N109" s="507"/>
      <c r="O109" s="507"/>
      <c r="P109" s="507"/>
      <c r="Q109" s="507"/>
      <c r="R109" s="507"/>
      <c r="S109" s="507"/>
      <c r="T109" s="507"/>
      <c r="U109" s="507"/>
      <c r="V109" s="507"/>
      <c r="W109" s="507"/>
      <c r="X109" s="161"/>
      <c r="Y109" s="161"/>
    </row>
    <row r="110" spans="1:25" hidden="1" x14ac:dyDescent="0.2">
      <c r="B110" s="557" t="s">
        <v>256</v>
      </c>
      <c r="C110" s="387"/>
      <c r="D110" s="556">
        <v>0.8</v>
      </c>
      <c r="E110" s="388">
        <f>(SUM(D22:E22))*$D$110</f>
        <v>0</v>
      </c>
      <c r="F110" s="388">
        <f t="shared" si="1"/>
        <v>0</v>
      </c>
      <c r="G110" s="388">
        <f t="shared" si="2"/>
        <v>0</v>
      </c>
      <c r="H110" s="388">
        <f t="shared" si="3"/>
        <v>0</v>
      </c>
      <c r="I110" s="388">
        <f t="shared" si="4"/>
        <v>0</v>
      </c>
      <c r="J110" s="507"/>
      <c r="K110" s="507"/>
      <c r="L110" s="523"/>
      <c r="M110" s="507"/>
      <c r="N110" s="507"/>
      <c r="O110" s="507"/>
      <c r="P110" s="507"/>
      <c r="Q110" s="507"/>
      <c r="R110" s="507"/>
      <c r="S110" s="507"/>
      <c r="T110" s="507"/>
      <c r="U110" s="507"/>
      <c r="V110" s="507"/>
      <c r="W110" s="507"/>
      <c r="X110" s="161"/>
      <c r="Y110" s="161"/>
    </row>
    <row r="111" spans="1:25" hidden="1" x14ac:dyDescent="0.2">
      <c r="B111" s="557" t="s">
        <v>257</v>
      </c>
      <c r="C111" s="387"/>
      <c r="D111" s="556">
        <v>0.6</v>
      </c>
      <c r="E111" s="388">
        <f>(SUM(D23:E23))*$D$111</f>
        <v>0</v>
      </c>
      <c r="F111" s="388">
        <f t="shared" si="1"/>
        <v>0</v>
      </c>
      <c r="G111" s="388">
        <f t="shared" si="2"/>
        <v>0</v>
      </c>
      <c r="H111" s="388">
        <f t="shared" si="3"/>
        <v>0</v>
      </c>
      <c r="I111" s="388">
        <f t="shared" si="4"/>
        <v>0</v>
      </c>
      <c r="J111" s="507"/>
      <c r="K111" s="507"/>
      <c r="L111" s="523"/>
      <c r="M111" s="507"/>
      <c r="N111" s="507"/>
      <c r="O111" s="507"/>
      <c r="P111" s="507"/>
      <c r="Q111" s="507"/>
      <c r="R111" s="507"/>
      <c r="S111" s="507"/>
      <c r="T111" s="507"/>
      <c r="U111" s="507"/>
      <c r="V111" s="507"/>
      <c r="W111" s="507"/>
      <c r="X111" s="161"/>
      <c r="Y111" s="161"/>
    </row>
    <row r="112" spans="1:25" hidden="1" x14ac:dyDescent="0.2">
      <c r="B112" s="557" t="s">
        <v>245</v>
      </c>
      <c r="C112" s="387"/>
      <c r="D112" s="556">
        <v>0.6</v>
      </c>
      <c r="E112" s="388">
        <f>(SUM(D24:E24))*$D$112</f>
        <v>0</v>
      </c>
      <c r="F112" s="388">
        <f t="shared" si="1"/>
        <v>0</v>
      </c>
      <c r="G112" s="388">
        <f t="shared" si="2"/>
        <v>0</v>
      </c>
      <c r="H112" s="388">
        <f t="shared" si="3"/>
        <v>0</v>
      </c>
      <c r="I112" s="388">
        <f t="shared" si="4"/>
        <v>0</v>
      </c>
      <c r="J112" s="507"/>
      <c r="K112" s="507"/>
      <c r="L112" s="523"/>
      <c r="M112" s="507"/>
      <c r="N112" s="507"/>
      <c r="O112" s="507"/>
      <c r="P112" s="507"/>
      <c r="Q112" s="507"/>
      <c r="R112" s="507"/>
      <c r="S112" s="507"/>
      <c r="T112" s="507"/>
      <c r="U112" s="507"/>
      <c r="V112" s="507"/>
      <c r="W112" s="507"/>
      <c r="X112" s="161"/>
      <c r="Y112" s="161"/>
    </row>
    <row r="113" spans="2:25" ht="15.75" hidden="1" thickBot="1" x14ac:dyDescent="0.25">
      <c r="B113" s="557" t="s">
        <v>44</v>
      </c>
      <c r="C113" s="387"/>
      <c r="D113" s="556">
        <v>21.2</v>
      </c>
      <c r="E113" s="388">
        <f>SUM(D25:E25)*$D$113</f>
        <v>0</v>
      </c>
      <c r="F113" s="388">
        <f>SUM(F25:G25)*D113</f>
        <v>0</v>
      </c>
      <c r="G113" s="388">
        <f>SUM(H25:I25)*D113</f>
        <v>0</v>
      </c>
      <c r="H113" s="388">
        <f>SUM(J25:K25)*D113</f>
        <v>0</v>
      </c>
      <c r="I113" s="388">
        <f>SUM(L25:M25)*D113</f>
        <v>0</v>
      </c>
      <c r="J113" s="507"/>
      <c r="K113" s="507"/>
      <c r="L113" s="523"/>
      <c r="M113" s="507"/>
      <c r="N113" s="507"/>
      <c r="O113" s="507"/>
      <c r="P113" s="507"/>
      <c r="Q113" s="507"/>
      <c r="R113" s="507"/>
      <c r="S113" s="507"/>
      <c r="T113" s="507"/>
      <c r="U113" s="507"/>
      <c r="V113" s="507"/>
      <c r="W113" s="507"/>
      <c r="X113" s="161"/>
      <c r="Y113" s="161"/>
    </row>
    <row r="114" spans="2:25" ht="15.75" hidden="1" thickBot="1" x14ac:dyDescent="0.25">
      <c r="B114" s="507"/>
      <c r="C114" s="507"/>
      <c r="D114" s="390" t="s">
        <v>283</v>
      </c>
      <c r="E114" s="391">
        <f>SUM(E105:E113)</f>
        <v>0</v>
      </c>
      <c r="F114" s="558">
        <f t="shared" ref="F114:I114" si="5">SUM(F105:F113)</f>
        <v>0</v>
      </c>
      <c r="G114" s="558">
        <f t="shared" si="5"/>
        <v>0</v>
      </c>
      <c r="H114" s="558">
        <f t="shared" si="5"/>
        <v>0</v>
      </c>
      <c r="I114" s="558">
        <f t="shared" si="5"/>
        <v>0</v>
      </c>
      <c r="J114" s="507"/>
      <c r="K114" s="507"/>
      <c r="L114" s="523"/>
      <c r="M114" s="507"/>
      <c r="N114" s="507"/>
      <c r="O114" s="507"/>
      <c r="P114" s="507"/>
      <c r="Q114" s="507"/>
      <c r="R114" s="507"/>
      <c r="S114" s="507"/>
      <c r="T114" s="507"/>
      <c r="U114" s="507"/>
      <c r="V114" s="507"/>
      <c r="W114" s="507"/>
      <c r="X114" s="161"/>
      <c r="Y114" s="161"/>
    </row>
    <row r="115" spans="2:25" hidden="1" x14ac:dyDescent="0.2">
      <c r="B115" s="158"/>
      <c r="C115" s="158"/>
      <c r="D115" s="158"/>
      <c r="E115" s="158"/>
      <c r="F115" s="158"/>
      <c r="G115" s="158"/>
      <c r="H115" s="158"/>
      <c r="I115" s="158"/>
      <c r="J115" s="158"/>
      <c r="K115" s="363"/>
      <c r="L115" s="158"/>
      <c r="M115" s="158"/>
      <c r="N115" s="348"/>
    </row>
    <row r="116" spans="2:25" hidden="1" x14ac:dyDescent="0.2">
      <c r="B116" s="158"/>
      <c r="C116" s="158"/>
      <c r="D116" s="158"/>
      <c r="E116" s="158"/>
      <c r="F116" s="158"/>
      <c r="G116" s="158"/>
      <c r="H116" s="158"/>
      <c r="I116" s="158"/>
      <c r="J116" s="158"/>
      <c r="K116" s="363"/>
      <c r="L116" s="158"/>
      <c r="M116" s="158"/>
      <c r="N116" s="158"/>
    </row>
    <row r="117" spans="2:25" hidden="1" x14ac:dyDescent="0.2">
      <c r="B117" s="158"/>
      <c r="C117" s="158"/>
      <c r="D117" s="158"/>
      <c r="E117" s="158"/>
      <c r="F117" s="158"/>
      <c r="G117" s="158"/>
      <c r="H117" s="158"/>
      <c r="I117" s="158"/>
      <c r="J117" s="158"/>
      <c r="K117" s="363"/>
      <c r="L117" s="158"/>
      <c r="M117" s="158"/>
      <c r="N117" s="158"/>
    </row>
    <row r="118" spans="2:25" hidden="1" x14ac:dyDescent="0.2">
      <c r="B118" s="158"/>
      <c r="C118" s="158"/>
      <c r="D118" s="158"/>
      <c r="E118" s="158"/>
      <c r="F118" s="158"/>
      <c r="G118" s="1096" t="s">
        <v>418</v>
      </c>
      <c r="H118" s="1096"/>
      <c r="I118" s="1096"/>
      <c r="J118" s="1096"/>
      <c r="K118" s="1096"/>
      <c r="L118" s="1096"/>
      <c r="M118" s="1096"/>
    </row>
    <row r="119" spans="2:25" ht="15.75" hidden="1" thickBot="1" x14ac:dyDescent="0.25">
      <c r="B119" s="158"/>
      <c r="C119" s="158"/>
      <c r="D119" s="158"/>
      <c r="E119" s="158"/>
      <c r="F119" s="158"/>
      <c r="G119" s="1096"/>
      <c r="H119" s="1096"/>
      <c r="I119" s="1096"/>
      <c r="J119" s="1096"/>
      <c r="K119" s="1096"/>
      <c r="L119" s="1096"/>
      <c r="M119" s="1096"/>
    </row>
    <row r="120" spans="2:25" ht="48" hidden="1" x14ac:dyDescent="0.2">
      <c r="B120" s="605" t="s">
        <v>215</v>
      </c>
      <c r="C120" s="606"/>
      <c r="D120" s="606"/>
      <c r="E120" s="607"/>
      <c r="F120" s="158"/>
      <c r="G120" s="174" t="s">
        <v>323</v>
      </c>
      <c r="H120" s="392" t="s">
        <v>419</v>
      </c>
      <c r="I120" s="288" t="s">
        <v>175</v>
      </c>
      <c r="J120" s="392" t="s">
        <v>420</v>
      </c>
      <c r="K120" s="288" t="s">
        <v>175</v>
      </c>
      <c r="L120" s="392" t="s">
        <v>421</v>
      </c>
      <c r="M120" s="288" t="s">
        <v>175</v>
      </c>
    </row>
    <row r="121" spans="2:25" hidden="1" x14ac:dyDescent="0.2">
      <c r="B121" s="599" t="s">
        <v>207</v>
      </c>
      <c r="C121" s="568" t="s">
        <v>217</v>
      </c>
      <c r="D121" s="898" t="s">
        <v>54</v>
      </c>
      <c r="E121" s="902"/>
      <c r="F121" s="158"/>
      <c r="G121" s="393">
        <f>(1000/I121)-10</f>
        <v>16.315789473684209</v>
      </c>
      <c r="H121" s="394">
        <f>('SITE DATA'!$F$26-(0.2*G121))^2/('SITE DATA'!$F$26+(0.8*G121))</f>
        <v>0.8157894736842104</v>
      </c>
      <c r="I121" s="395">
        <v>38</v>
      </c>
      <c r="J121" s="394">
        <f>('SITE DATA'!$F$27-(0.2*G121))^2/('SITE DATA'!$F$27+(0.8*G121))</f>
        <v>0.8157894736842104</v>
      </c>
      <c r="K121" s="395">
        <v>38</v>
      </c>
      <c r="L121" s="394">
        <f>('SITE DATA'!$F$28-(0.2*G121))^2/('SITE DATA'!$F$28+(0.8*G121))</f>
        <v>0.8157894736842104</v>
      </c>
      <c r="M121" s="395">
        <v>38</v>
      </c>
    </row>
    <row r="122" spans="2:25" hidden="1" x14ac:dyDescent="0.2">
      <c r="B122" s="600" t="s">
        <v>521</v>
      </c>
      <c r="C122" s="597">
        <v>0.35</v>
      </c>
      <c r="D122" s="1094">
        <v>0.85</v>
      </c>
      <c r="E122" s="1095"/>
      <c r="F122" s="158"/>
      <c r="G122" s="393">
        <f>(1000/I122)-10</f>
        <v>15.641025641025642</v>
      </c>
      <c r="H122" s="394">
        <f>('SITE DATA'!$F$26-(0.2*G122))^2/('SITE DATA'!$F$26+(0.8*G122))</f>
        <v>0.78205128205128227</v>
      </c>
      <c r="I122" s="395">
        <v>39</v>
      </c>
      <c r="J122" s="394">
        <f>('SITE DATA'!$F$27-(0.2*G122))^2/('SITE DATA'!$F$27+(0.8*G122))</f>
        <v>0.78205128205128227</v>
      </c>
      <c r="K122" s="395">
        <v>39</v>
      </c>
      <c r="L122" s="394">
        <f>('SITE DATA'!$F$28-(0.2*G122))^2/('SITE DATA'!$F$28+(0.8*G122))</f>
        <v>0.78205128205128227</v>
      </c>
      <c r="M122" s="395">
        <v>39</v>
      </c>
    </row>
    <row r="123" spans="2:25" hidden="1" x14ac:dyDescent="0.2">
      <c r="B123" s="600" t="s">
        <v>520</v>
      </c>
      <c r="C123" s="597">
        <v>0.4</v>
      </c>
      <c r="D123" s="1094">
        <v>0.85</v>
      </c>
      <c r="E123" s="1095"/>
      <c r="F123" s="158"/>
      <c r="G123" s="393">
        <f>(1000/I123)-10</f>
        <v>15</v>
      </c>
      <c r="H123" s="394">
        <f>('SITE DATA'!$F$26-(0.2*G123))^2/('SITE DATA'!$F$26+(0.8*G123))</f>
        <v>0.75</v>
      </c>
      <c r="I123" s="395">
        <v>40</v>
      </c>
      <c r="J123" s="394">
        <f>('SITE DATA'!$F$27-(0.2*G123))^2/('SITE DATA'!$F$27+(0.8*G123))</f>
        <v>0.75</v>
      </c>
      <c r="K123" s="395">
        <v>40</v>
      </c>
      <c r="L123" s="394">
        <f>('SITE DATA'!$F$28-(0.2*G123))^2/('SITE DATA'!$F$28+(0.8*G123))</f>
        <v>0.75</v>
      </c>
      <c r="M123" s="395">
        <v>40</v>
      </c>
    </row>
    <row r="124" spans="2:25" hidden="1" x14ac:dyDescent="0.2">
      <c r="B124" s="601" t="s">
        <v>208</v>
      </c>
      <c r="C124" s="597">
        <v>0.4</v>
      </c>
      <c r="D124" s="1094">
        <v>0.85</v>
      </c>
      <c r="E124" s="1095"/>
      <c r="F124" s="158"/>
      <c r="G124" s="393">
        <f>(1000/I124)-10</f>
        <v>14.390243902439025</v>
      </c>
      <c r="H124" s="394">
        <f>('SITE DATA'!$F$26-(0.2*G124))^2/('SITE DATA'!$F$26+(0.8*G124))</f>
        <v>0.71951219512195141</v>
      </c>
      <c r="I124" s="395">
        <v>41</v>
      </c>
      <c r="J124" s="394">
        <f>('SITE DATA'!$F$27-(0.2*G124))^2/('SITE DATA'!$F$27+(0.8*G124))</f>
        <v>0.71951219512195141</v>
      </c>
      <c r="K124" s="395">
        <v>41</v>
      </c>
      <c r="L124" s="394">
        <f>('SITE DATA'!$F$28-(0.2*G124))^2/('SITE DATA'!$F$28+(0.8*G124))</f>
        <v>0.71951219512195141</v>
      </c>
      <c r="M124" s="395">
        <v>41</v>
      </c>
    </row>
    <row r="125" spans="2:25" hidden="1" x14ac:dyDescent="0.2">
      <c r="B125" s="601" t="s">
        <v>51</v>
      </c>
      <c r="C125" s="597">
        <v>0.25</v>
      </c>
      <c r="D125" s="1094">
        <v>0.85</v>
      </c>
      <c r="E125" s="1095"/>
      <c r="F125" s="158"/>
      <c r="G125" s="393">
        <f>(1000/I125)-10</f>
        <v>13.80952380952381</v>
      </c>
      <c r="H125" s="394">
        <f>('SITE DATA'!$F$26-(0.2*G125))^2/('SITE DATA'!$F$26+(0.8*G125))</f>
        <v>0.69047619047619058</v>
      </c>
      <c r="I125" s="395">
        <v>42</v>
      </c>
      <c r="J125" s="394">
        <f>('SITE DATA'!$F$27-(0.2*G125))^2/('SITE DATA'!$F$27+(0.8*G125))</f>
        <v>0.69047619047619058</v>
      </c>
      <c r="K125" s="395">
        <v>42</v>
      </c>
      <c r="L125" s="394">
        <f>('SITE DATA'!$F$28-(0.2*G125))^2/('SITE DATA'!$F$28+(0.8*G125))</f>
        <v>0.69047619047619058</v>
      </c>
      <c r="M125" s="395">
        <v>42</v>
      </c>
    </row>
    <row r="126" spans="2:25" hidden="1" x14ac:dyDescent="0.2">
      <c r="B126" s="601" t="s">
        <v>209</v>
      </c>
      <c r="C126" s="597">
        <v>0.35</v>
      </c>
      <c r="D126" s="1094">
        <v>0.85</v>
      </c>
      <c r="E126" s="1095"/>
      <c r="F126" s="158"/>
      <c r="G126" s="393">
        <f t="shared" ref="G126:G157" si="6">(1000/I126)-10</f>
        <v>13.255813953488371</v>
      </c>
      <c r="H126" s="394">
        <f>('SITE DATA'!$F$26-(0.2*G126))^2/('SITE DATA'!$F$26+(0.8*G126))</f>
        <v>0.66279069767441856</v>
      </c>
      <c r="I126" s="395">
        <v>43</v>
      </c>
      <c r="J126" s="394">
        <f>('SITE DATA'!$F$27-(0.2*G126))^2/('SITE DATA'!$F$27+(0.8*G126))</f>
        <v>0.66279069767441856</v>
      </c>
      <c r="K126" s="395">
        <v>43</v>
      </c>
      <c r="L126" s="394">
        <f>('SITE DATA'!$F$28-(0.2*G126))^2/('SITE DATA'!$F$28+(0.8*G126))</f>
        <v>0.66279069767441856</v>
      </c>
      <c r="M126" s="395">
        <v>43</v>
      </c>
    </row>
    <row r="127" spans="2:25" hidden="1" x14ac:dyDescent="0.2">
      <c r="B127" s="601" t="s">
        <v>210</v>
      </c>
      <c r="C127" s="597">
        <v>0.2</v>
      </c>
      <c r="D127" s="1094">
        <v>0.35</v>
      </c>
      <c r="E127" s="1095"/>
      <c r="F127" s="158"/>
      <c r="G127" s="393">
        <f t="shared" si="6"/>
        <v>12.727272727272727</v>
      </c>
      <c r="H127" s="394">
        <f>('SITE DATA'!$F$26-(0.2*G127))^2/('SITE DATA'!$F$26+(0.8*G127))</f>
        <v>0.63636363636363635</v>
      </c>
      <c r="I127" s="395">
        <v>44</v>
      </c>
      <c r="J127" s="394">
        <f>('SITE DATA'!$F$27-(0.2*G127))^2/('SITE DATA'!$F$27+(0.8*G127))</f>
        <v>0.63636363636363635</v>
      </c>
      <c r="K127" s="395">
        <v>44</v>
      </c>
      <c r="L127" s="394">
        <f>('SITE DATA'!$F$28-(0.2*G127))^2/('SITE DATA'!$F$28+(0.8*G127))</f>
        <v>0.63636363636363635</v>
      </c>
      <c r="M127" s="395">
        <v>44</v>
      </c>
    </row>
    <row r="128" spans="2:25" hidden="1" x14ac:dyDescent="0.2">
      <c r="B128" s="601" t="s">
        <v>52</v>
      </c>
      <c r="C128" s="597">
        <v>0.2</v>
      </c>
      <c r="D128" s="1094">
        <v>0.35</v>
      </c>
      <c r="E128" s="1095"/>
      <c r="F128" s="158"/>
      <c r="G128" s="393">
        <f t="shared" si="6"/>
        <v>12.222222222222221</v>
      </c>
      <c r="H128" s="394">
        <f>('SITE DATA'!$F$26-(0.2*G128))^2/('SITE DATA'!$F$26+(0.8*G128))</f>
        <v>0.61111111111111116</v>
      </c>
      <c r="I128" s="395">
        <v>45</v>
      </c>
      <c r="J128" s="394">
        <f>('SITE DATA'!$F$27-(0.2*G128))^2/('SITE DATA'!$F$27+(0.8*G128))</f>
        <v>0.61111111111111116</v>
      </c>
      <c r="K128" s="395">
        <v>45</v>
      </c>
      <c r="L128" s="394">
        <f>('SITE DATA'!$F$28-(0.2*G128))^2/('SITE DATA'!$F$28+(0.8*G128))</f>
        <v>0.61111111111111116</v>
      </c>
      <c r="M128" s="395">
        <v>45</v>
      </c>
    </row>
    <row r="129" spans="2:13" hidden="1" x14ac:dyDescent="0.2">
      <c r="B129" s="601" t="s">
        <v>211</v>
      </c>
      <c r="C129" s="597">
        <v>0.3</v>
      </c>
      <c r="D129" s="1094">
        <v>0.6</v>
      </c>
      <c r="E129" s="1095"/>
      <c r="F129" s="158"/>
      <c r="G129" s="393">
        <f t="shared" si="6"/>
        <v>11.739130434782609</v>
      </c>
      <c r="H129" s="394">
        <f>('SITE DATA'!$F$26-(0.2*G129))^2/('SITE DATA'!$F$26+(0.8*G129))</f>
        <v>0.58695652173913049</v>
      </c>
      <c r="I129" s="395">
        <v>46</v>
      </c>
      <c r="J129" s="394">
        <f>('SITE DATA'!$F$27-(0.2*G129))^2/('SITE DATA'!$F$27+(0.8*G129))</f>
        <v>0.58695652173913049</v>
      </c>
      <c r="K129" s="395">
        <v>46</v>
      </c>
      <c r="L129" s="394">
        <f>('SITE DATA'!$F$28-(0.2*G129))^2/('SITE DATA'!$F$28+(0.8*G129))</f>
        <v>0.58695652173913049</v>
      </c>
      <c r="M129" s="395">
        <v>46</v>
      </c>
    </row>
    <row r="130" spans="2:13" hidden="1" x14ac:dyDescent="0.2">
      <c r="B130" s="601" t="s">
        <v>212</v>
      </c>
      <c r="C130" s="597">
        <v>0.3</v>
      </c>
      <c r="D130" s="1094">
        <v>0.85</v>
      </c>
      <c r="E130" s="1095"/>
      <c r="F130" s="158"/>
      <c r="G130" s="393">
        <f t="shared" si="6"/>
        <v>11.276595744680851</v>
      </c>
      <c r="H130" s="394">
        <f>('SITE DATA'!$F$26-(0.2*G130))^2/('SITE DATA'!$F$26+(0.8*G130))</f>
        <v>0.56382978723404253</v>
      </c>
      <c r="I130" s="395">
        <v>47</v>
      </c>
      <c r="J130" s="394">
        <f>('SITE DATA'!$F$27-(0.2*G130))^2/('SITE DATA'!$F$27+(0.8*G130))</f>
        <v>0.56382978723404253</v>
      </c>
      <c r="K130" s="395">
        <v>47</v>
      </c>
      <c r="L130" s="394">
        <f>('SITE DATA'!$F$28-(0.2*G130))^2/('SITE DATA'!$F$28+(0.8*G130))</f>
        <v>0.56382978723404253</v>
      </c>
      <c r="M130" s="395">
        <v>47</v>
      </c>
    </row>
    <row r="131" spans="2:13" hidden="1" x14ac:dyDescent="0.2">
      <c r="B131" s="601" t="s">
        <v>213</v>
      </c>
      <c r="C131" s="597">
        <v>0.1</v>
      </c>
      <c r="D131" s="1094">
        <v>0.5</v>
      </c>
      <c r="E131" s="1095"/>
      <c r="F131" s="158"/>
      <c r="G131" s="393">
        <f t="shared" si="6"/>
        <v>10.833333333333332</v>
      </c>
      <c r="H131" s="394">
        <f>('SITE DATA'!$F$26-(0.2*G131))^2/('SITE DATA'!$F$26+(0.8*G131))</f>
        <v>0.54166666666666663</v>
      </c>
      <c r="I131" s="395">
        <f>48</f>
        <v>48</v>
      </c>
      <c r="J131" s="394">
        <f>('SITE DATA'!$F$27-(0.2*G131))^2/('SITE DATA'!$F$27+(0.8*G131))</f>
        <v>0.54166666666666663</v>
      </c>
      <c r="K131" s="395">
        <f>48</f>
        <v>48</v>
      </c>
      <c r="L131" s="394">
        <f>('SITE DATA'!$F$28-(0.2*G131))^2/('SITE DATA'!$F$28+(0.8*G131))</f>
        <v>0.54166666666666663</v>
      </c>
      <c r="M131" s="395">
        <f>48</f>
        <v>48</v>
      </c>
    </row>
    <row r="132" spans="2:13" hidden="1" x14ac:dyDescent="0.2">
      <c r="B132" s="601" t="s">
        <v>53</v>
      </c>
      <c r="C132" s="597">
        <v>0</v>
      </c>
      <c r="D132" s="1094">
        <v>0</v>
      </c>
      <c r="E132" s="1095"/>
      <c r="F132" s="158"/>
      <c r="G132" s="393">
        <f t="shared" si="6"/>
        <v>10.408163265306122</v>
      </c>
      <c r="H132" s="394">
        <f>('SITE DATA'!$F$26-(0.2*G132))^2/('SITE DATA'!$F$26+(0.8*G132))</f>
        <v>0.52040816326530615</v>
      </c>
      <c r="I132" s="395">
        <f t="shared" ref="I132:I163" si="7">I131+1</f>
        <v>49</v>
      </c>
      <c r="J132" s="394">
        <f>('SITE DATA'!$F$27-(0.2*G132))^2/('SITE DATA'!$F$27+(0.8*G132))</f>
        <v>0.52040816326530615</v>
      </c>
      <c r="K132" s="395">
        <f t="shared" ref="K132:K181" si="8">K131+1</f>
        <v>49</v>
      </c>
      <c r="L132" s="394">
        <f>('SITE DATA'!$F$28-(0.2*G132))^2/('SITE DATA'!$F$28+(0.8*G132))</f>
        <v>0.52040816326530615</v>
      </c>
      <c r="M132" s="395">
        <f t="shared" ref="M132:M163" si="9">M131+1</f>
        <v>49</v>
      </c>
    </row>
    <row r="133" spans="2:13" hidden="1" x14ac:dyDescent="0.2">
      <c r="B133" s="601" t="s">
        <v>579</v>
      </c>
      <c r="C133" s="597">
        <v>0</v>
      </c>
      <c r="D133" s="1094">
        <v>0</v>
      </c>
      <c r="E133" s="1095"/>
      <c r="F133" s="158"/>
      <c r="G133" s="393">
        <f>(1000/I133)-10</f>
        <v>10</v>
      </c>
      <c r="H133" s="394">
        <f>('SITE DATA'!$F$26-(0.2*G133))^2/('SITE DATA'!$F$26+(0.8*G133))</f>
        <v>0.5</v>
      </c>
      <c r="I133" s="395">
        <f t="shared" si="7"/>
        <v>50</v>
      </c>
      <c r="J133" s="394">
        <f>('SITE DATA'!$F$27-(0.2*G133))^2/('SITE DATA'!$F$27+(0.8*G133))</f>
        <v>0.5</v>
      </c>
      <c r="K133" s="395">
        <f t="shared" si="8"/>
        <v>50</v>
      </c>
      <c r="L133" s="394">
        <f>('SITE DATA'!$F$28-(0.2*G133))^2/('SITE DATA'!$F$28+(0.8*G133))</f>
        <v>0.5</v>
      </c>
      <c r="M133" s="395">
        <f t="shared" si="9"/>
        <v>50</v>
      </c>
    </row>
    <row r="134" spans="2:13" ht="15.75" hidden="1" thickBot="1" x14ac:dyDescent="0.25">
      <c r="B134" s="602" t="s">
        <v>564</v>
      </c>
      <c r="C134" s="603">
        <f>IF(C13="Yes",G13,F134)</f>
        <v>1</v>
      </c>
      <c r="D134" s="1036" t="s">
        <v>563</v>
      </c>
      <c r="E134" s="1037"/>
      <c r="F134" s="616">
        <v>1</v>
      </c>
      <c r="G134" s="393">
        <f t="shared" si="6"/>
        <v>9.6078431372549034</v>
      </c>
      <c r="H134" s="394">
        <f>('SITE DATA'!$F$26-(0.2*G134))^2/('SITE DATA'!$F$26+(0.8*G134))</f>
        <v>0.48039215686274517</v>
      </c>
      <c r="I134" s="395">
        <f t="shared" si="7"/>
        <v>51</v>
      </c>
      <c r="J134" s="394">
        <f>('SITE DATA'!$F$27-(0.2*G134))^2/('SITE DATA'!$F$27+(0.8*G134))</f>
        <v>0.48039215686274517</v>
      </c>
      <c r="K134" s="395">
        <f t="shared" si="8"/>
        <v>51</v>
      </c>
      <c r="L134" s="394">
        <f>('SITE DATA'!$F$28-(0.2*G134))^2/('SITE DATA'!$F$28+(0.8*G134))</f>
        <v>0.48039215686274517</v>
      </c>
      <c r="M134" s="395">
        <f t="shared" si="9"/>
        <v>51</v>
      </c>
    </row>
    <row r="135" spans="2:13" hidden="1" x14ac:dyDescent="0.2">
      <c r="B135" s="253"/>
      <c r="C135" s="253"/>
      <c r="D135" s="158"/>
      <c r="E135" s="158"/>
      <c r="F135" s="158"/>
      <c r="G135" s="393">
        <f t="shared" si="6"/>
        <v>9.2307692307692299</v>
      </c>
      <c r="H135" s="394">
        <f>('SITE DATA'!$F$26-(0.2*G135))^2/('SITE DATA'!$F$26+(0.8*G135))</f>
        <v>0.46153846153846151</v>
      </c>
      <c r="I135" s="395">
        <f t="shared" si="7"/>
        <v>52</v>
      </c>
      <c r="J135" s="394">
        <f>('SITE DATA'!$F$27-(0.2*G135))^2/('SITE DATA'!$F$27+(0.8*G135))</f>
        <v>0.46153846153846151</v>
      </c>
      <c r="K135" s="395">
        <f t="shared" si="8"/>
        <v>52</v>
      </c>
      <c r="L135" s="394">
        <f>('SITE DATA'!$F$28-(0.2*G135))^2/('SITE DATA'!$F$28+(0.8*G135))</f>
        <v>0.46153846153846151</v>
      </c>
      <c r="M135" s="395">
        <f t="shared" si="9"/>
        <v>52</v>
      </c>
    </row>
    <row r="136" spans="2:13" hidden="1" x14ac:dyDescent="0.2">
      <c r="B136" s="253"/>
      <c r="C136" s="253"/>
      <c r="D136" s="158"/>
      <c r="E136" s="396"/>
      <c r="F136" s="158"/>
      <c r="G136" s="393">
        <f t="shared" si="6"/>
        <v>8.8679245283018879</v>
      </c>
      <c r="H136" s="394">
        <f>('SITE DATA'!$F$26-(0.2*G136))^2/('SITE DATA'!$F$26+(0.8*G136))</f>
        <v>0.44339622641509441</v>
      </c>
      <c r="I136" s="395">
        <f t="shared" si="7"/>
        <v>53</v>
      </c>
      <c r="J136" s="394">
        <f>('SITE DATA'!$F$27-(0.2*G136))^2/('SITE DATA'!$F$27+(0.8*G136))</f>
        <v>0.44339622641509441</v>
      </c>
      <c r="K136" s="395">
        <f t="shared" si="8"/>
        <v>53</v>
      </c>
      <c r="L136" s="394">
        <f>('SITE DATA'!$F$28-(0.2*G136))^2/('SITE DATA'!$F$28+(0.8*G136))</f>
        <v>0.44339622641509441</v>
      </c>
      <c r="M136" s="395">
        <f t="shared" si="9"/>
        <v>53</v>
      </c>
    </row>
    <row r="137" spans="2:13" hidden="1" x14ac:dyDescent="0.2">
      <c r="B137" s="158"/>
      <c r="C137" s="158"/>
      <c r="D137" s="158"/>
      <c r="E137" s="158"/>
      <c r="F137" s="158"/>
      <c r="G137" s="393">
        <f t="shared" si="6"/>
        <v>8.518518518518519</v>
      </c>
      <c r="H137" s="394">
        <f>('SITE DATA'!$F$26-(0.2*G137))^2/('SITE DATA'!$F$26+(0.8*G137))</f>
        <v>0.42592592592592599</v>
      </c>
      <c r="I137" s="395">
        <f t="shared" si="7"/>
        <v>54</v>
      </c>
      <c r="J137" s="394">
        <f>('SITE DATA'!$F$27-(0.2*G137))^2/('SITE DATA'!$F$27+(0.8*G137))</f>
        <v>0.42592592592592599</v>
      </c>
      <c r="K137" s="395">
        <f t="shared" si="8"/>
        <v>54</v>
      </c>
      <c r="L137" s="394">
        <f>('SITE DATA'!$F$28-(0.2*G137))^2/('SITE DATA'!$F$28+(0.8*G137))</f>
        <v>0.42592592592592599</v>
      </c>
      <c r="M137" s="395">
        <f t="shared" si="9"/>
        <v>54</v>
      </c>
    </row>
    <row r="138" spans="2:13" hidden="1" x14ac:dyDescent="0.2">
      <c r="B138" s="158"/>
      <c r="C138" s="158"/>
      <c r="D138" s="158"/>
      <c r="E138" s="158"/>
      <c r="F138" s="396"/>
      <c r="G138" s="393">
        <f t="shared" si="6"/>
        <v>8.1818181818181834</v>
      </c>
      <c r="H138" s="394">
        <f>('SITE DATA'!$F$26-(0.2*G138))^2/('SITE DATA'!$F$26+(0.8*G138))</f>
        <v>0.40909090909090912</v>
      </c>
      <c r="I138" s="395">
        <f t="shared" si="7"/>
        <v>55</v>
      </c>
      <c r="J138" s="394">
        <f>('SITE DATA'!$F$27-(0.2*G138))^2/('SITE DATA'!$F$27+(0.8*G138))</f>
        <v>0.40909090909090912</v>
      </c>
      <c r="K138" s="395">
        <f t="shared" si="8"/>
        <v>55</v>
      </c>
      <c r="L138" s="394">
        <f>('SITE DATA'!$F$28-(0.2*G138))^2/('SITE DATA'!$F$28+(0.8*G138))</f>
        <v>0.40909090909090912</v>
      </c>
      <c r="M138" s="395">
        <f t="shared" si="9"/>
        <v>55</v>
      </c>
    </row>
    <row r="139" spans="2:13" hidden="1" x14ac:dyDescent="0.2">
      <c r="B139" s="158"/>
      <c r="C139" s="158"/>
      <c r="D139" s="158"/>
      <c r="E139" s="158"/>
      <c r="F139" s="158"/>
      <c r="G139" s="393">
        <f t="shared" si="6"/>
        <v>7.8571428571428577</v>
      </c>
      <c r="H139" s="394">
        <f>('SITE DATA'!$F$26-(0.2*G139))^2/('SITE DATA'!$F$26+(0.8*G139))</f>
        <v>0.3928571428571429</v>
      </c>
      <c r="I139" s="395">
        <f t="shared" si="7"/>
        <v>56</v>
      </c>
      <c r="J139" s="394">
        <f>('SITE DATA'!$F$27-(0.2*G139))^2/('SITE DATA'!$F$27+(0.8*G139))</f>
        <v>0.3928571428571429</v>
      </c>
      <c r="K139" s="395">
        <f t="shared" si="8"/>
        <v>56</v>
      </c>
      <c r="L139" s="394">
        <f>('SITE DATA'!$F$28-(0.2*G139))^2/('SITE DATA'!$F$28+(0.8*G139))</f>
        <v>0.3928571428571429</v>
      </c>
      <c r="M139" s="395">
        <f t="shared" si="9"/>
        <v>56</v>
      </c>
    </row>
    <row r="140" spans="2:13" hidden="1" x14ac:dyDescent="0.2">
      <c r="B140" s="158"/>
      <c r="C140" s="158"/>
      <c r="D140" s="158"/>
      <c r="E140" s="158"/>
      <c r="F140" s="158"/>
      <c r="G140" s="393">
        <f t="shared" si="6"/>
        <v>7.5438596491228083</v>
      </c>
      <c r="H140" s="394">
        <f>('SITE DATA'!$F$26-(0.2*G140))^2/('SITE DATA'!$F$26+(0.8*G140))</f>
        <v>0.37719298245614041</v>
      </c>
      <c r="I140" s="395">
        <f t="shared" si="7"/>
        <v>57</v>
      </c>
      <c r="J140" s="394">
        <f>('SITE DATA'!$F$27-(0.2*G140))^2/('SITE DATA'!$F$27+(0.8*G140))</f>
        <v>0.37719298245614041</v>
      </c>
      <c r="K140" s="395">
        <f t="shared" si="8"/>
        <v>57</v>
      </c>
      <c r="L140" s="394">
        <f>('SITE DATA'!$F$28-(0.2*G140))^2/('SITE DATA'!$F$28+(0.8*G140))</f>
        <v>0.37719298245614041</v>
      </c>
      <c r="M140" s="395">
        <f t="shared" si="9"/>
        <v>57</v>
      </c>
    </row>
    <row r="141" spans="2:13" hidden="1" x14ac:dyDescent="0.2">
      <c r="B141" s="158"/>
      <c r="C141" s="158"/>
      <c r="D141" s="158"/>
      <c r="E141" s="158"/>
      <c r="F141" s="158"/>
      <c r="G141" s="393">
        <f t="shared" si="6"/>
        <v>7.2413793103448292</v>
      </c>
      <c r="H141" s="394">
        <f>('SITE DATA'!$F$26-(0.2*G141))^2/('SITE DATA'!$F$26+(0.8*G141))</f>
        <v>0.36206896551724144</v>
      </c>
      <c r="I141" s="395">
        <f t="shared" si="7"/>
        <v>58</v>
      </c>
      <c r="J141" s="394">
        <f>('SITE DATA'!$F$27-(0.2*G141))^2/('SITE DATA'!$F$27+(0.8*G141))</f>
        <v>0.36206896551724144</v>
      </c>
      <c r="K141" s="395">
        <f t="shared" si="8"/>
        <v>58</v>
      </c>
      <c r="L141" s="394">
        <f>('SITE DATA'!$F$28-(0.2*G141))^2/('SITE DATA'!$F$28+(0.8*G141))</f>
        <v>0.36206896551724144</v>
      </c>
      <c r="M141" s="395">
        <f t="shared" si="9"/>
        <v>58</v>
      </c>
    </row>
    <row r="142" spans="2:13" ht="15.75" hidden="1" thickBot="1" x14ac:dyDescent="0.25">
      <c r="B142" s="158"/>
      <c r="C142" s="158"/>
      <c r="D142" s="158"/>
      <c r="E142" s="158"/>
      <c r="F142" s="158"/>
      <c r="G142" s="393">
        <f t="shared" si="6"/>
        <v>6.9491525423728824</v>
      </c>
      <c r="H142" s="394">
        <f>('SITE DATA'!$F$26-(0.2*G142))^2/('SITE DATA'!$F$26+(0.8*G142))</f>
        <v>0.34745762711864414</v>
      </c>
      <c r="I142" s="395">
        <f t="shared" si="7"/>
        <v>59</v>
      </c>
      <c r="J142" s="394">
        <f>('SITE DATA'!$F$27-(0.2*G142))^2/('SITE DATA'!$F$27+(0.8*G142))</f>
        <v>0.34745762711864414</v>
      </c>
      <c r="K142" s="395">
        <f t="shared" si="8"/>
        <v>59</v>
      </c>
      <c r="L142" s="394">
        <f>('SITE DATA'!$F$28-(0.2*G142))^2/('SITE DATA'!$F$28+(0.8*G142))</f>
        <v>0.34745762711864414</v>
      </c>
      <c r="M142" s="395">
        <f t="shared" si="9"/>
        <v>59</v>
      </c>
    </row>
    <row r="143" spans="2:13" ht="16.5" hidden="1" thickBot="1" x14ac:dyDescent="0.3">
      <c r="B143" s="612" t="s">
        <v>532</v>
      </c>
      <c r="C143" s="543"/>
      <c r="D143" s="544"/>
      <c r="E143" s="158"/>
      <c r="F143" s="158"/>
      <c r="G143" s="393">
        <f t="shared" si="6"/>
        <v>6.6666666666666679</v>
      </c>
      <c r="H143" s="394">
        <f>('SITE DATA'!$F$26-(0.2*G143))^2/('SITE DATA'!$F$26+(0.8*G143))</f>
        <v>0.33333333333333343</v>
      </c>
      <c r="I143" s="395">
        <f t="shared" si="7"/>
        <v>60</v>
      </c>
      <c r="J143" s="394">
        <f>('SITE DATA'!$F$27-(0.2*G143))^2/('SITE DATA'!$F$27+(0.8*G143))</f>
        <v>0.33333333333333343</v>
      </c>
      <c r="K143" s="395">
        <f t="shared" si="8"/>
        <v>60</v>
      </c>
      <c r="L143" s="394">
        <f>('SITE DATA'!$F$28-(0.2*G143))^2/('SITE DATA'!$F$28+(0.8*G143))</f>
        <v>0.33333333333333343</v>
      </c>
      <c r="M143" s="395">
        <f t="shared" si="9"/>
        <v>60</v>
      </c>
    </row>
    <row r="144" spans="2:13" hidden="1" x14ac:dyDescent="0.2">
      <c r="B144" s="530"/>
      <c r="C144" s="512"/>
      <c r="D144" s="522"/>
      <c r="E144" s="158"/>
      <c r="F144" s="158"/>
      <c r="G144" s="393">
        <f t="shared" si="6"/>
        <v>6.3934426229508183</v>
      </c>
      <c r="H144" s="394">
        <f>('SITE DATA'!$F$26-(0.2*G144))^2/('SITE DATA'!$F$26+(0.8*G144))</f>
        <v>0.31967213114754095</v>
      </c>
      <c r="I144" s="395">
        <f t="shared" si="7"/>
        <v>61</v>
      </c>
      <c r="J144" s="394">
        <f>('SITE DATA'!$F$27-(0.2*G144))^2/('SITE DATA'!$F$27+(0.8*G144))</f>
        <v>0.31967213114754095</v>
      </c>
      <c r="K144" s="395">
        <f t="shared" si="8"/>
        <v>61</v>
      </c>
      <c r="L144" s="394">
        <f>('SITE DATA'!$F$28-(0.2*G144))^2/('SITE DATA'!$F$28+(0.8*G144))</f>
        <v>0.31967213114754095</v>
      </c>
      <c r="M144" s="395">
        <f t="shared" si="9"/>
        <v>61</v>
      </c>
    </row>
    <row r="145" spans="2:13" ht="19.5" hidden="1" x14ac:dyDescent="0.35">
      <c r="B145" s="509" t="s">
        <v>534</v>
      </c>
      <c r="C145" s="506"/>
      <c r="D145" s="513"/>
      <c r="E145" s="158"/>
      <c r="F145" s="158"/>
      <c r="G145" s="393">
        <f t="shared" si="6"/>
        <v>6.129032258064516</v>
      </c>
      <c r="H145" s="394">
        <f>('SITE DATA'!$F$26-(0.2*G145))^2/('SITE DATA'!$F$26+(0.8*G145))</f>
        <v>0.30645161290322581</v>
      </c>
      <c r="I145" s="395">
        <f t="shared" si="7"/>
        <v>62</v>
      </c>
      <c r="J145" s="394">
        <f>('SITE DATA'!$F$27-(0.2*G145))^2/('SITE DATA'!$F$27+(0.8*G145))</f>
        <v>0.30645161290322581</v>
      </c>
      <c r="K145" s="395">
        <f t="shared" si="8"/>
        <v>62</v>
      </c>
      <c r="L145" s="394">
        <f>('SITE DATA'!$F$28-(0.2*G145))^2/('SITE DATA'!$F$28+(0.8*G145))</f>
        <v>0.30645161290322581</v>
      </c>
      <c r="M145" s="395">
        <f t="shared" si="9"/>
        <v>62</v>
      </c>
    </row>
    <row r="146" spans="2:13" hidden="1" x14ac:dyDescent="0.2">
      <c r="B146" s="509" t="s">
        <v>535</v>
      </c>
      <c r="C146" s="506"/>
      <c r="D146" s="513"/>
      <c r="E146" s="158"/>
      <c r="F146" s="158"/>
      <c r="G146" s="393">
        <f t="shared" si="6"/>
        <v>5.8730158730158735</v>
      </c>
      <c r="H146" s="394">
        <f>('SITE DATA'!$F$26-(0.2*G146))^2/('SITE DATA'!$F$26+(0.8*G146))</f>
        <v>0.29365079365079366</v>
      </c>
      <c r="I146" s="395">
        <f t="shared" si="7"/>
        <v>63</v>
      </c>
      <c r="J146" s="394">
        <f>('SITE DATA'!$F$27-(0.2*G146))^2/('SITE DATA'!$F$27+(0.8*G146))</f>
        <v>0.29365079365079366</v>
      </c>
      <c r="K146" s="395">
        <f t="shared" si="8"/>
        <v>63</v>
      </c>
      <c r="L146" s="394">
        <f>('SITE DATA'!$F$28-(0.2*G146))^2/('SITE DATA'!$F$28+(0.8*G146))</f>
        <v>0.29365079365079366</v>
      </c>
      <c r="M146" s="395">
        <f t="shared" si="9"/>
        <v>63</v>
      </c>
    </row>
    <row r="147" spans="2:13" hidden="1" x14ac:dyDescent="0.2">
      <c r="B147" s="509" t="s">
        <v>539</v>
      </c>
      <c r="C147" s="506"/>
      <c r="D147" s="513"/>
      <c r="E147" s="158"/>
      <c r="F147" s="158"/>
      <c r="G147" s="393">
        <f t="shared" si="6"/>
        <v>5.625</v>
      </c>
      <c r="H147" s="394">
        <f>('SITE DATA'!$F$26-(0.2*G147))^2/('SITE DATA'!$F$26+(0.8*G147))</f>
        <v>0.28125</v>
      </c>
      <c r="I147" s="395">
        <f t="shared" si="7"/>
        <v>64</v>
      </c>
      <c r="J147" s="394">
        <f>('SITE DATA'!$F$27-(0.2*G147))^2/('SITE DATA'!$F$27+(0.8*G147))</f>
        <v>0.28125</v>
      </c>
      <c r="K147" s="395">
        <f t="shared" si="8"/>
        <v>64</v>
      </c>
      <c r="L147" s="394">
        <f>('SITE DATA'!$F$28-(0.2*G147))^2/('SITE DATA'!$F$28+(0.8*G147))</f>
        <v>0.28125</v>
      </c>
      <c r="M147" s="395">
        <f t="shared" si="9"/>
        <v>64</v>
      </c>
    </row>
    <row r="148" spans="2:13" ht="19.5" hidden="1" x14ac:dyDescent="0.35">
      <c r="B148" s="509" t="s">
        <v>541</v>
      </c>
      <c r="C148" s="506"/>
      <c r="D148" s="513"/>
      <c r="E148" s="158"/>
      <c r="F148" s="158"/>
      <c r="G148" s="393">
        <f t="shared" si="6"/>
        <v>5.384615384615385</v>
      </c>
      <c r="H148" s="394">
        <f>('SITE DATA'!$F$26-(0.2*G148))^2/('SITE DATA'!$F$26+(0.8*G148))</f>
        <v>0.26923076923076927</v>
      </c>
      <c r="I148" s="395">
        <f t="shared" si="7"/>
        <v>65</v>
      </c>
      <c r="J148" s="394">
        <f>('SITE DATA'!$F$27-(0.2*G148))^2/('SITE DATA'!$F$27+(0.8*G148))</f>
        <v>0.26923076923076927</v>
      </c>
      <c r="K148" s="395">
        <f t="shared" si="8"/>
        <v>65</v>
      </c>
      <c r="L148" s="394">
        <f>('SITE DATA'!$F$28-(0.2*G148))^2/('SITE DATA'!$F$28+(0.8*G148))</f>
        <v>0.26923076923076927</v>
      </c>
      <c r="M148" s="395">
        <f t="shared" si="9"/>
        <v>65</v>
      </c>
    </row>
    <row r="149" spans="2:13" hidden="1" x14ac:dyDescent="0.2">
      <c r="B149" s="538"/>
      <c r="C149" s="511" t="s">
        <v>543</v>
      </c>
      <c r="D149" s="613" t="e">
        <f>(SUM(D25:E25))/SUM(D17:M25)</f>
        <v>#DIV/0!</v>
      </c>
      <c r="E149" s="158"/>
      <c r="F149" s="158"/>
      <c r="G149" s="393">
        <f t="shared" si="6"/>
        <v>5.1515151515151523</v>
      </c>
      <c r="H149" s="394">
        <f>('SITE DATA'!$F$26-(0.2*G149))^2/('SITE DATA'!$F$26+(0.8*G149))</f>
        <v>0.25757575757575762</v>
      </c>
      <c r="I149" s="395">
        <f t="shared" si="7"/>
        <v>66</v>
      </c>
      <c r="J149" s="394">
        <f>('SITE DATA'!$F$27-(0.2*G149))^2/('SITE DATA'!$F$27+(0.8*G149))</f>
        <v>0.25757575757575762</v>
      </c>
      <c r="K149" s="395">
        <f t="shared" si="8"/>
        <v>66</v>
      </c>
      <c r="L149" s="394">
        <f>('SITE DATA'!$F$28-(0.2*G149))^2/('SITE DATA'!$F$28+(0.8*G149))</f>
        <v>0.25757575757575762</v>
      </c>
      <c r="M149" s="395">
        <f t="shared" si="9"/>
        <v>66</v>
      </c>
    </row>
    <row r="150" spans="2:13" ht="24" hidden="1" thickBot="1" x14ac:dyDescent="0.4">
      <c r="B150" s="540" t="s">
        <v>569</v>
      </c>
      <c r="C150" s="511" t="s">
        <v>547</v>
      </c>
      <c r="D150" s="539" t="e">
        <f>0.05+(0.9*D149)</f>
        <v>#DIV/0!</v>
      </c>
      <c r="E150" s="158" t="s">
        <v>726</v>
      </c>
      <c r="F150" s="158"/>
      <c r="G150" s="393">
        <f t="shared" si="6"/>
        <v>4.9253731343283587</v>
      </c>
      <c r="H150" s="394">
        <f>('SITE DATA'!$F$26-(0.2*G150))^2/('SITE DATA'!$F$26+(0.8*G150))</f>
        <v>0.24626865671641796</v>
      </c>
      <c r="I150" s="395">
        <f t="shared" si="7"/>
        <v>67</v>
      </c>
      <c r="J150" s="394">
        <f>('SITE DATA'!$F$27-(0.2*G150))^2/('SITE DATA'!$F$27+(0.8*G150))</f>
        <v>0.24626865671641796</v>
      </c>
      <c r="K150" s="395">
        <f t="shared" si="8"/>
        <v>67</v>
      </c>
      <c r="L150" s="394">
        <f>('SITE DATA'!$F$28-(0.2*G150))^2/('SITE DATA'!$F$28+(0.8*G150))</f>
        <v>0.24626865671641796</v>
      </c>
      <c r="M150" s="395">
        <f t="shared" si="9"/>
        <v>67</v>
      </c>
    </row>
    <row r="151" spans="2:13" ht="24" hidden="1" thickBot="1" x14ac:dyDescent="0.4">
      <c r="B151" s="540"/>
      <c r="C151" s="534" t="s">
        <v>549</v>
      </c>
      <c r="D151" s="535" t="e">
        <f>3630*1*D150*SUM(D17:E25)</f>
        <v>#DIV/0!</v>
      </c>
      <c r="E151" s="615" t="e">
        <f>D151</f>
        <v>#DIV/0!</v>
      </c>
      <c r="F151" s="158"/>
      <c r="G151" s="393">
        <f t="shared" si="6"/>
        <v>4.7058823529411757</v>
      </c>
      <c r="H151" s="394">
        <f>('SITE DATA'!$F$26-(0.2*G151))^2/('SITE DATA'!$F$26+(0.8*G151))</f>
        <v>0.23529411764705879</v>
      </c>
      <c r="I151" s="395">
        <f t="shared" si="7"/>
        <v>68</v>
      </c>
      <c r="J151" s="394">
        <f>('SITE DATA'!$F$27-(0.2*G151))^2/('SITE DATA'!$F$27+(0.8*G151))</f>
        <v>0.23529411764705879</v>
      </c>
      <c r="K151" s="395">
        <f t="shared" si="8"/>
        <v>68</v>
      </c>
      <c r="L151" s="394">
        <f>('SITE DATA'!$F$28-(0.2*G151))^2/('SITE DATA'!$F$28+(0.8*G151))</f>
        <v>0.23529411764705879</v>
      </c>
      <c r="M151" s="395">
        <f t="shared" si="9"/>
        <v>68</v>
      </c>
    </row>
    <row r="152" spans="2:13" ht="15.75" hidden="1" thickBot="1" x14ac:dyDescent="0.25">
      <c r="B152" s="541"/>
      <c r="C152" s="537"/>
      <c r="D152" s="531"/>
      <c r="E152" s="158"/>
      <c r="F152" s="158"/>
      <c r="G152" s="393">
        <f t="shared" si="6"/>
        <v>4.4927536231884062</v>
      </c>
      <c r="H152" s="394">
        <f>('SITE DATA'!$F$26-(0.2*G152))^2/('SITE DATA'!$F$26+(0.8*G152))</f>
        <v>0.22463768115942032</v>
      </c>
      <c r="I152" s="395">
        <f t="shared" si="7"/>
        <v>69</v>
      </c>
      <c r="J152" s="394">
        <f>('SITE DATA'!$F$27-(0.2*G152))^2/('SITE DATA'!$F$27+(0.8*G152))</f>
        <v>0.22463768115942032</v>
      </c>
      <c r="K152" s="395">
        <f t="shared" si="8"/>
        <v>69</v>
      </c>
      <c r="L152" s="394">
        <f>('SITE DATA'!$F$28-(0.2*G152))^2/('SITE DATA'!$F$28+(0.8*G152))</f>
        <v>0.22463768115942032</v>
      </c>
      <c r="M152" s="395">
        <f t="shared" si="9"/>
        <v>69</v>
      </c>
    </row>
    <row r="153" spans="2:13" hidden="1" x14ac:dyDescent="0.2">
      <c r="B153" s="538"/>
      <c r="C153" s="511" t="s">
        <v>543</v>
      </c>
      <c r="D153" s="613" t="e">
        <f>(SUM(F25:G25))/SUM(D17:M25)</f>
        <v>#DIV/0!</v>
      </c>
      <c r="E153" s="158"/>
      <c r="F153" s="158"/>
      <c r="G153" s="393">
        <f t="shared" si="6"/>
        <v>4.2857142857142865</v>
      </c>
      <c r="H153" s="394">
        <f>('SITE DATA'!$F$26-(0.2*G153))^2/('SITE DATA'!$F$26+(0.8*G153))</f>
        <v>0.21428571428571433</v>
      </c>
      <c r="I153" s="395">
        <f t="shared" si="7"/>
        <v>70</v>
      </c>
      <c r="J153" s="394">
        <f>('SITE DATA'!$F$27-(0.2*G153))^2/('SITE DATA'!$F$27+(0.8*G153))</f>
        <v>0.21428571428571433</v>
      </c>
      <c r="K153" s="395">
        <f t="shared" si="8"/>
        <v>70</v>
      </c>
      <c r="L153" s="394">
        <f>('SITE DATA'!$F$28-(0.2*G153))^2/('SITE DATA'!$F$28+(0.8*G153))</f>
        <v>0.21428571428571433</v>
      </c>
      <c r="M153" s="395">
        <f t="shared" si="9"/>
        <v>70</v>
      </c>
    </row>
    <row r="154" spans="2:13" ht="24" hidden="1" thickBot="1" x14ac:dyDescent="0.4">
      <c r="B154" s="540" t="s">
        <v>570</v>
      </c>
      <c r="C154" s="511" t="s">
        <v>547</v>
      </c>
      <c r="D154" s="539" t="e">
        <f>0.05+(0.9*D153)</f>
        <v>#DIV/0!</v>
      </c>
      <c r="E154" s="158"/>
      <c r="F154" s="158"/>
      <c r="G154" s="393">
        <f t="shared" si="6"/>
        <v>4.0845070422535219</v>
      </c>
      <c r="H154" s="394">
        <f>('SITE DATA'!$F$26-(0.2*G154))^2/('SITE DATA'!$F$26+(0.8*G154))</f>
        <v>0.20422535211267612</v>
      </c>
      <c r="I154" s="395">
        <f t="shared" si="7"/>
        <v>71</v>
      </c>
      <c r="J154" s="394">
        <f>('SITE DATA'!$F$27-(0.2*G154))^2/('SITE DATA'!$F$27+(0.8*G154))</f>
        <v>0.20422535211267612</v>
      </c>
      <c r="K154" s="395">
        <f t="shared" si="8"/>
        <v>71</v>
      </c>
      <c r="L154" s="394">
        <f>('SITE DATA'!$F$28-(0.2*G154))^2/('SITE DATA'!$F$28+(0.8*G154))</f>
        <v>0.20422535211267612</v>
      </c>
      <c r="M154" s="395">
        <f t="shared" si="9"/>
        <v>71</v>
      </c>
    </row>
    <row r="155" spans="2:13" ht="24" hidden="1" thickBot="1" x14ac:dyDescent="0.4">
      <c r="B155" s="540"/>
      <c r="C155" s="534" t="s">
        <v>549</v>
      </c>
      <c r="D155" s="535" t="e">
        <f>3630*1*D154*SUM(F17:G25)</f>
        <v>#DIV/0!</v>
      </c>
      <c r="E155" s="615" t="e">
        <f>D155</f>
        <v>#DIV/0!</v>
      </c>
      <c r="F155" s="158"/>
      <c r="G155" s="393">
        <f t="shared" si="6"/>
        <v>3.8888888888888893</v>
      </c>
      <c r="H155" s="394">
        <f>('SITE DATA'!$F$26-(0.2*G155))^2/('SITE DATA'!$F$26+(0.8*G155))</f>
        <v>0.1944444444444445</v>
      </c>
      <c r="I155" s="395">
        <f t="shared" si="7"/>
        <v>72</v>
      </c>
      <c r="J155" s="394">
        <f>('SITE DATA'!$F$27-(0.2*G155))^2/('SITE DATA'!$F$27+(0.8*G155))</f>
        <v>0.1944444444444445</v>
      </c>
      <c r="K155" s="395">
        <f t="shared" si="8"/>
        <v>72</v>
      </c>
      <c r="L155" s="394">
        <f>('SITE DATA'!$F$28-(0.2*G155))^2/('SITE DATA'!$F$28+(0.8*G155))</f>
        <v>0.1944444444444445</v>
      </c>
      <c r="M155" s="395">
        <f t="shared" si="9"/>
        <v>72</v>
      </c>
    </row>
    <row r="156" spans="2:13" ht="15.75" hidden="1" thickBot="1" x14ac:dyDescent="0.25">
      <c r="B156" s="541"/>
      <c r="C156" s="537"/>
      <c r="D156" s="531"/>
      <c r="E156" s="158"/>
      <c r="F156" s="158"/>
      <c r="G156" s="393">
        <f t="shared" si="6"/>
        <v>3.6986301369863011</v>
      </c>
      <c r="H156" s="394">
        <f>('SITE DATA'!$F$26-(0.2*G156))^2/('SITE DATA'!$F$26+(0.8*G156))</f>
        <v>0.18493150684931509</v>
      </c>
      <c r="I156" s="395">
        <f t="shared" si="7"/>
        <v>73</v>
      </c>
      <c r="J156" s="394">
        <f>('SITE DATA'!$F$27-(0.2*G156))^2/('SITE DATA'!$F$27+(0.8*G156))</f>
        <v>0.18493150684931509</v>
      </c>
      <c r="K156" s="395">
        <f t="shared" si="8"/>
        <v>73</v>
      </c>
      <c r="L156" s="394">
        <f>('SITE DATA'!$F$28-(0.2*G156))^2/('SITE DATA'!$F$28+(0.8*G156))</f>
        <v>0.18493150684931509</v>
      </c>
      <c r="M156" s="395">
        <f t="shared" si="9"/>
        <v>73</v>
      </c>
    </row>
    <row r="157" spans="2:13" hidden="1" x14ac:dyDescent="0.2">
      <c r="B157" s="538"/>
      <c r="C157" s="511" t="s">
        <v>543</v>
      </c>
      <c r="D157" s="613" t="e">
        <f>(SUM(H25:I25))/SUM(D17:M25)</f>
        <v>#DIV/0!</v>
      </c>
      <c r="E157" s="158"/>
      <c r="F157" s="158"/>
      <c r="G157" s="393">
        <f t="shared" si="6"/>
        <v>3.513513513513514</v>
      </c>
      <c r="H157" s="394">
        <f>('SITE DATA'!$F$26-(0.2*G157))^2/('SITE DATA'!$F$26+(0.8*G157))</f>
        <v>0.17567567567567571</v>
      </c>
      <c r="I157" s="395">
        <f t="shared" si="7"/>
        <v>74</v>
      </c>
      <c r="J157" s="394">
        <f>('SITE DATA'!$F$27-(0.2*G157))^2/('SITE DATA'!$F$27+(0.8*G157))</f>
        <v>0.17567567567567571</v>
      </c>
      <c r="K157" s="395">
        <f t="shared" si="8"/>
        <v>74</v>
      </c>
      <c r="L157" s="394">
        <f>('SITE DATA'!$F$28-(0.2*G157))^2/('SITE DATA'!$F$28+(0.8*G157))</f>
        <v>0.17567567567567571</v>
      </c>
      <c r="M157" s="395">
        <f t="shared" si="9"/>
        <v>74</v>
      </c>
    </row>
    <row r="158" spans="2:13" ht="24" hidden="1" thickBot="1" x14ac:dyDescent="0.4">
      <c r="B158" s="540" t="s">
        <v>571</v>
      </c>
      <c r="C158" s="511" t="s">
        <v>547</v>
      </c>
      <c r="D158" s="539" t="e">
        <f>0.05+(0.9*D157)</f>
        <v>#DIV/0!</v>
      </c>
      <c r="E158" s="158"/>
      <c r="F158" s="158"/>
      <c r="G158" s="393">
        <f t="shared" ref="G158:G181" si="10">(1000/I158)-10</f>
        <v>3.3333333333333339</v>
      </c>
      <c r="H158" s="394">
        <f>('SITE DATA'!$F$26-(0.2*G158))^2/('SITE DATA'!$F$26+(0.8*G158))</f>
        <v>0.16666666666666671</v>
      </c>
      <c r="I158" s="395">
        <f t="shared" si="7"/>
        <v>75</v>
      </c>
      <c r="J158" s="394">
        <f>('SITE DATA'!$F$27-(0.2*G158))^2/('SITE DATA'!$F$27+(0.8*G158))</f>
        <v>0.16666666666666671</v>
      </c>
      <c r="K158" s="395">
        <f t="shared" si="8"/>
        <v>75</v>
      </c>
      <c r="L158" s="394">
        <f>('SITE DATA'!$F$28-(0.2*G158))^2/('SITE DATA'!$F$28+(0.8*G158))</f>
        <v>0.16666666666666671</v>
      </c>
      <c r="M158" s="395">
        <f t="shared" si="9"/>
        <v>75</v>
      </c>
    </row>
    <row r="159" spans="2:13" ht="24" hidden="1" thickBot="1" x14ac:dyDescent="0.4">
      <c r="B159" s="540"/>
      <c r="C159" s="534" t="s">
        <v>549</v>
      </c>
      <c r="D159" s="535" t="e">
        <f>3630*1*D158*SUM(H17:I25)</f>
        <v>#DIV/0!</v>
      </c>
      <c r="E159" s="615" t="e">
        <f>D159</f>
        <v>#DIV/0!</v>
      </c>
      <c r="F159" s="158"/>
      <c r="G159" s="393">
        <f t="shared" si="10"/>
        <v>3.1578947368421044</v>
      </c>
      <c r="H159" s="394">
        <f>('SITE DATA'!$F$26-(0.2*G159))^2/('SITE DATA'!$F$26+(0.8*G159))</f>
        <v>0.15789473684210523</v>
      </c>
      <c r="I159" s="174">
        <f t="shared" si="7"/>
        <v>76</v>
      </c>
      <c r="J159" s="394">
        <f>('SITE DATA'!$F$27-(0.2*G159))^2/('SITE DATA'!$F$27+(0.8*G159))</f>
        <v>0.15789473684210523</v>
      </c>
      <c r="K159" s="174">
        <f t="shared" si="8"/>
        <v>76</v>
      </c>
      <c r="L159" s="394">
        <f>('SITE DATA'!$F$28-(0.2*G159))^2/('SITE DATA'!$F$28+(0.8*G159))</f>
        <v>0.15789473684210523</v>
      </c>
      <c r="M159" s="174">
        <f t="shared" si="9"/>
        <v>76</v>
      </c>
    </row>
    <row r="160" spans="2:13" ht="15.75" hidden="1" thickBot="1" x14ac:dyDescent="0.25">
      <c r="B160" s="541"/>
      <c r="C160" s="537"/>
      <c r="D160" s="531"/>
      <c r="E160" s="158"/>
      <c r="F160" s="158"/>
      <c r="G160" s="393">
        <f t="shared" si="10"/>
        <v>2.9870129870129869</v>
      </c>
      <c r="H160" s="394">
        <f>('SITE DATA'!$F$26-(0.2*G160))^2/('SITE DATA'!$F$26+(0.8*G160))</f>
        <v>0.14935064935064934</v>
      </c>
      <c r="I160" s="174">
        <f t="shared" si="7"/>
        <v>77</v>
      </c>
      <c r="J160" s="394">
        <f>('SITE DATA'!$F$27-(0.2*G160))^2/('SITE DATA'!$F$27+(0.8*G160))</f>
        <v>0.14935064935064934</v>
      </c>
      <c r="K160" s="174">
        <f t="shared" si="8"/>
        <v>77</v>
      </c>
      <c r="L160" s="394">
        <f>('SITE DATA'!$F$28-(0.2*G160))^2/('SITE DATA'!$F$28+(0.8*G160))</f>
        <v>0.14935064935064934</v>
      </c>
      <c r="M160" s="174">
        <f t="shared" si="9"/>
        <v>77</v>
      </c>
    </row>
    <row r="161" spans="2:13" hidden="1" x14ac:dyDescent="0.2">
      <c r="B161" s="538"/>
      <c r="C161" s="511" t="s">
        <v>543</v>
      </c>
      <c r="D161" s="613" t="e">
        <f>(SUM(J25:K25))/SUM(D17:M25)</f>
        <v>#DIV/0!</v>
      </c>
      <c r="E161" s="158"/>
      <c r="F161" s="158"/>
      <c r="G161" s="393">
        <f t="shared" si="10"/>
        <v>2.8205128205128212</v>
      </c>
      <c r="H161" s="394">
        <f>('SITE DATA'!$F$26-(0.2*G161))^2/('SITE DATA'!$F$26+(0.8*G161))</f>
        <v>0.14102564102564105</v>
      </c>
      <c r="I161" s="174">
        <f t="shared" si="7"/>
        <v>78</v>
      </c>
      <c r="J161" s="394">
        <f>('SITE DATA'!$F$27-(0.2*G161))^2/('SITE DATA'!$F$27+(0.8*G161))</f>
        <v>0.14102564102564105</v>
      </c>
      <c r="K161" s="174">
        <f t="shared" si="8"/>
        <v>78</v>
      </c>
      <c r="L161" s="394">
        <f>('SITE DATA'!$F$28-(0.2*G161))^2/('SITE DATA'!$F$28+(0.8*G161))</f>
        <v>0.14102564102564105</v>
      </c>
      <c r="M161" s="174">
        <f t="shared" si="9"/>
        <v>78</v>
      </c>
    </row>
    <row r="162" spans="2:13" ht="24" hidden="1" thickBot="1" x14ac:dyDescent="0.4">
      <c r="B162" s="540" t="s">
        <v>572</v>
      </c>
      <c r="C162" s="511" t="s">
        <v>547</v>
      </c>
      <c r="D162" s="539" t="e">
        <f>0.05+(0.9*D161)</f>
        <v>#DIV/0!</v>
      </c>
      <c r="E162" s="158"/>
      <c r="F162" s="158"/>
      <c r="G162" s="393">
        <f t="shared" si="10"/>
        <v>2.6582278481012658</v>
      </c>
      <c r="H162" s="394">
        <f>('SITE DATA'!$F$26-(0.2*G162))^2/('SITE DATA'!$F$26+(0.8*G162))</f>
        <v>0.13291139240506331</v>
      </c>
      <c r="I162" s="174">
        <f t="shared" si="7"/>
        <v>79</v>
      </c>
      <c r="J162" s="394">
        <f>('SITE DATA'!$F$27-(0.2*G162))^2/('SITE DATA'!$F$27+(0.8*G162))</f>
        <v>0.13291139240506331</v>
      </c>
      <c r="K162" s="174">
        <f t="shared" si="8"/>
        <v>79</v>
      </c>
      <c r="L162" s="394">
        <f>('SITE DATA'!$F$28-(0.2*G162))^2/('SITE DATA'!$F$28+(0.8*G162))</f>
        <v>0.13291139240506331</v>
      </c>
      <c r="M162" s="174">
        <f t="shared" si="9"/>
        <v>79</v>
      </c>
    </row>
    <row r="163" spans="2:13" ht="24" hidden="1" thickBot="1" x14ac:dyDescent="0.4">
      <c r="B163" s="540"/>
      <c r="C163" s="534" t="s">
        <v>549</v>
      </c>
      <c r="D163" s="535" t="e">
        <f>3630*1*D162*SUM(J17:K25)</f>
        <v>#DIV/0!</v>
      </c>
      <c r="E163" s="615" t="e">
        <f>D163</f>
        <v>#DIV/0!</v>
      </c>
      <c r="F163" s="158"/>
      <c r="G163" s="393">
        <f t="shared" si="10"/>
        <v>2.5</v>
      </c>
      <c r="H163" s="394">
        <f>('SITE DATA'!$F$26-(0.2*G163))^2/('SITE DATA'!$F$26+(0.8*G163))</f>
        <v>0.125</v>
      </c>
      <c r="I163" s="174">
        <f t="shared" si="7"/>
        <v>80</v>
      </c>
      <c r="J163" s="394">
        <f>('SITE DATA'!$F$27-(0.2*G163))^2/('SITE DATA'!$F$27+(0.8*G163))</f>
        <v>0.125</v>
      </c>
      <c r="K163" s="174">
        <f t="shared" si="8"/>
        <v>80</v>
      </c>
      <c r="L163" s="394">
        <f>('SITE DATA'!$F$28-(0.2*G163))^2/('SITE DATA'!$F$28+(0.8*G163))</f>
        <v>0.125</v>
      </c>
      <c r="M163" s="174">
        <f t="shared" si="9"/>
        <v>80</v>
      </c>
    </row>
    <row r="164" spans="2:13" ht="15.75" hidden="1" thickBot="1" x14ac:dyDescent="0.25">
      <c r="B164" s="541"/>
      <c r="C164" s="537"/>
      <c r="D164" s="531"/>
      <c r="E164" s="158"/>
      <c r="F164" s="158"/>
      <c r="G164" s="393">
        <f t="shared" si="10"/>
        <v>2.3456790123456788</v>
      </c>
      <c r="H164" s="394">
        <f>('SITE DATA'!$F$26-(0.2*G164))^2/('SITE DATA'!$F$26+(0.8*G164))</f>
        <v>0.11728395061728394</v>
      </c>
      <c r="I164" s="174">
        <f t="shared" ref="I164:I181" si="11">I163+1</f>
        <v>81</v>
      </c>
      <c r="J164" s="394">
        <f>('SITE DATA'!$F$27-(0.2*G164))^2/('SITE DATA'!$F$27+(0.8*G164))</f>
        <v>0.11728395061728394</v>
      </c>
      <c r="K164" s="174">
        <f t="shared" si="8"/>
        <v>81</v>
      </c>
      <c r="L164" s="394">
        <f>('SITE DATA'!$F$28-(0.2*G164))^2/('SITE DATA'!$F$28+(0.8*G164))</f>
        <v>0.11728395061728394</v>
      </c>
      <c r="M164" s="174">
        <f t="shared" ref="M164:M181" si="12">M163+1</f>
        <v>81</v>
      </c>
    </row>
    <row r="165" spans="2:13" hidden="1" x14ac:dyDescent="0.2">
      <c r="B165" s="538"/>
      <c r="C165" s="511" t="s">
        <v>543</v>
      </c>
      <c r="D165" s="613" t="e">
        <f>(SUM(L25:M25))/SUM(D17:M25)</f>
        <v>#DIV/0!</v>
      </c>
      <c r="E165" s="158"/>
      <c r="F165" s="158"/>
      <c r="G165" s="393">
        <f t="shared" si="10"/>
        <v>2.1951219512195124</v>
      </c>
      <c r="H165" s="394">
        <f>('SITE DATA'!$F$26-(0.2*G165))^2/('SITE DATA'!$F$26+(0.8*G165))</f>
        <v>0.10975609756097562</v>
      </c>
      <c r="I165" s="174">
        <f t="shared" si="11"/>
        <v>82</v>
      </c>
      <c r="J165" s="394">
        <f>('SITE DATA'!$F$27-(0.2*G165))^2/('SITE DATA'!$F$27+(0.8*G165))</f>
        <v>0.10975609756097562</v>
      </c>
      <c r="K165" s="174">
        <f t="shared" si="8"/>
        <v>82</v>
      </c>
      <c r="L165" s="394">
        <f>('SITE DATA'!$F$28-(0.2*G165))^2/('SITE DATA'!$F$28+(0.8*G165))</f>
        <v>0.10975609756097562</v>
      </c>
      <c r="M165" s="174">
        <f t="shared" si="12"/>
        <v>82</v>
      </c>
    </row>
    <row r="166" spans="2:13" ht="24" hidden="1" thickBot="1" x14ac:dyDescent="0.4">
      <c r="B166" s="540" t="s">
        <v>573</v>
      </c>
      <c r="C166" s="511" t="s">
        <v>547</v>
      </c>
      <c r="D166" s="539" t="e">
        <f>0.05+(0.9*D165)</f>
        <v>#DIV/0!</v>
      </c>
      <c r="E166" s="158"/>
      <c r="F166" s="158"/>
      <c r="G166" s="393">
        <f t="shared" si="10"/>
        <v>2.0481927710843379</v>
      </c>
      <c r="H166" s="394">
        <f>('SITE DATA'!$F$26-(0.2*G166))^2/('SITE DATA'!$F$26+(0.8*G166))</f>
        <v>0.10240963855421689</v>
      </c>
      <c r="I166" s="174">
        <f t="shared" si="11"/>
        <v>83</v>
      </c>
      <c r="J166" s="394">
        <f>('SITE DATA'!$F$27-(0.2*G166))^2/('SITE DATA'!$F$27+(0.8*G166))</f>
        <v>0.10240963855421689</v>
      </c>
      <c r="K166" s="174">
        <f t="shared" si="8"/>
        <v>83</v>
      </c>
      <c r="L166" s="394">
        <f>('SITE DATA'!$F$28-(0.2*G166))^2/('SITE DATA'!$F$28+(0.8*G166))</f>
        <v>0.10240963855421689</v>
      </c>
      <c r="M166" s="174">
        <f t="shared" si="12"/>
        <v>83</v>
      </c>
    </row>
    <row r="167" spans="2:13" ht="24" hidden="1" thickBot="1" x14ac:dyDescent="0.4">
      <c r="B167" s="540"/>
      <c r="C167" s="534" t="s">
        <v>549</v>
      </c>
      <c r="D167" s="535" t="e">
        <f>3630*1*D166*SUM(L17:M25)</f>
        <v>#DIV/0!</v>
      </c>
      <c r="E167" s="615" t="e">
        <f>D167</f>
        <v>#DIV/0!</v>
      </c>
      <c r="F167" s="158"/>
      <c r="G167" s="393">
        <f t="shared" si="10"/>
        <v>1.9047619047619051</v>
      </c>
      <c r="H167" s="394">
        <f>('SITE DATA'!$F$26-(0.2*G167))^2/('SITE DATA'!$F$26+(0.8*G167))</f>
        <v>9.5238095238095261E-2</v>
      </c>
      <c r="I167" s="174">
        <f t="shared" si="11"/>
        <v>84</v>
      </c>
      <c r="J167" s="394">
        <f>('SITE DATA'!$F$27-(0.2*G167))^2/('SITE DATA'!$F$27+(0.8*G167))</f>
        <v>9.5238095238095261E-2</v>
      </c>
      <c r="K167" s="174">
        <f t="shared" si="8"/>
        <v>84</v>
      </c>
      <c r="L167" s="394">
        <f>('SITE DATA'!$F$28-(0.2*G167))^2/('SITE DATA'!$F$28+(0.8*G167))</f>
        <v>9.5238095238095261E-2</v>
      </c>
      <c r="M167" s="174">
        <f t="shared" si="12"/>
        <v>84</v>
      </c>
    </row>
    <row r="168" spans="2:13" ht="15.75" hidden="1" thickBot="1" x14ac:dyDescent="0.25">
      <c r="B168" s="541"/>
      <c r="C168" s="537"/>
      <c r="D168" s="531"/>
      <c r="E168" s="158"/>
      <c r="F168" s="158"/>
      <c r="G168" s="393">
        <f t="shared" si="10"/>
        <v>1.764705882352942</v>
      </c>
      <c r="H168" s="394">
        <f>('SITE DATA'!$F$26-(0.2*G168))^2/('SITE DATA'!$F$26+(0.8*G168))</f>
        <v>8.8235294117647106E-2</v>
      </c>
      <c r="I168" s="174">
        <f t="shared" si="11"/>
        <v>85</v>
      </c>
      <c r="J168" s="394">
        <f>('SITE DATA'!$F$27-(0.2*G168))^2/('SITE DATA'!$F$27+(0.8*G168))</f>
        <v>8.8235294117647106E-2</v>
      </c>
      <c r="K168" s="174">
        <f t="shared" si="8"/>
        <v>85</v>
      </c>
      <c r="L168" s="394">
        <f>('SITE DATA'!$F$28-(0.2*G168))^2/('SITE DATA'!$F$28+(0.8*G168))</f>
        <v>8.8235294117647106E-2</v>
      </c>
      <c r="M168" s="174">
        <f t="shared" si="12"/>
        <v>85</v>
      </c>
    </row>
    <row r="169" spans="2:13" hidden="1" x14ac:dyDescent="0.2">
      <c r="B169" s="397"/>
      <c r="C169" s="158"/>
      <c r="D169" s="158"/>
      <c r="E169" s="158"/>
      <c r="F169" s="160"/>
      <c r="G169" s="393">
        <f t="shared" si="10"/>
        <v>1.6279069767441854</v>
      </c>
      <c r="H169" s="394">
        <f>('SITE DATA'!$F$26-(0.2*G169))^2/('SITE DATA'!$F$26+(0.8*G169))</f>
        <v>8.139534883720928E-2</v>
      </c>
      <c r="I169" s="174">
        <f t="shared" si="11"/>
        <v>86</v>
      </c>
      <c r="J169" s="394">
        <f>('SITE DATA'!$F$27-(0.2*G169))^2/('SITE DATA'!$F$27+(0.8*G169))</f>
        <v>8.139534883720928E-2</v>
      </c>
      <c r="K169" s="174">
        <f t="shared" si="8"/>
        <v>86</v>
      </c>
      <c r="L169" s="394">
        <f>('SITE DATA'!$F$28-(0.2*G169))^2/('SITE DATA'!$F$28+(0.8*G169))</f>
        <v>8.139534883720928E-2</v>
      </c>
      <c r="M169" s="174">
        <f t="shared" si="12"/>
        <v>86</v>
      </c>
    </row>
    <row r="170" spans="2:13" hidden="1" x14ac:dyDescent="0.2">
      <c r="B170" s="397"/>
      <c r="C170" s="158"/>
      <c r="D170" s="158"/>
      <c r="E170" s="158"/>
      <c r="F170" s="158"/>
      <c r="G170" s="393">
        <f t="shared" si="10"/>
        <v>1.4942528735632177</v>
      </c>
      <c r="H170" s="394">
        <f>('SITE DATA'!$F$26-(0.2*G170))^2/('SITE DATA'!$F$26+(0.8*G170))</f>
        <v>7.4712643678160884E-2</v>
      </c>
      <c r="I170" s="174">
        <f t="shared" si="11"/>
        <v>87</v>
      </c>
      <c r="J170" s="394">
        <f>('SITE DATA'!$F$27-(0.2*G170))^2/('SITE DATA'!$F$27+(0.8*G170))</f>
        <v>7.4712643678160884E-2</v>
      </c>
      <c r="K170" s="174">
        <f t="shared" si="8"/>
        <v>87</v>
      </c>
      <c r="L170" s="394">
        <f>('SITE DATA'!$F$28-(0.2*G170))^2/('SITE DATA'!$F$28+(0.8*G170))</f>
        <v>7.4712643678160884E-2</v>
      </c>
      <c r="M170" s="174">
        <f t="shared" si="12"/>
        <v>87</v>
      </c>
    </row>
    <row r="171" spans="2:13" hidden="1" x14ac:dyDescent="0.2">
      <c r="B171" s="397"/>
      <c r="C171" s="158"/>
      <c r="D171" s="158"/>
      <c r="E171" s="158"/>
      <c r="F171" s="158"/>
      <c r="G171" s="393">
        <f t="shared" si="10"/>
        <v>1.3636363636363633</v>
      </c>
      <c r="H171" s="394">
        <f>('SITE DATA'!$F$26-(0.2*G171))^2/('SITE DATA'!$F$26+(0.8*G171))</f>
        <v>6.8181818181818163E-2</v>
      </c>
      <c r="I171" s="174">
        <f t="shared" si="11"/>
        <v>88</v>
      </c>
      <c r="J171" s="394">
        <f>('SITE DATA'!$F$27-(0.2*G171))^2/('SITE DATA'!$F$27+(0.8*G171))</f>
        <v>6.8181818181818163E-2</v>
      </c>
      <c r="K171" s="174">
        <f t="shared" si="8"/>
        <v>88</v>
      </c>
      <c r="L171" s="394">
        <f>('SITE DATA'!$F$28-(0.2*G171))^2/('SITE DATA'!$F$28+(0.8*G171))</f>
        <v>6.8181818181818163E-2</v>
      </c>
      <c r="M171" s="174">
        <f t="shared" si="12"/>
        <v>88</v>
      </c>
    </row>
    <row r="172" spans="2:13" hidden="1" x14ac:dyDescent="0.2">
      <c r="B172" s="397"/>
      <c r="C172" s="158"/>
      <c r="D172" s="158"/>
      <c r="E172" s="158"/>
      <c r="F172" s="158"/>
      <c r="G172" s="393">
        <f t="shared" si="10"/>
        <v>1.2359550561797761</v>
      </c>
      <c r="H172" s="394">
        <f>('SITE DATA'!$F$26-(0.2*G172))^2/('SITE DATA'!$F$26+(0.8*G172))</f>
        <v>6.1797752808988804E-2</v>
      </c>
      <c r="I172" s="174">
        <f t="shared" si="11"/>
        <v>89</v>
      </c>
      <c r="J172" s="394">
        <f>('SITE DATA'!$F$27-(0.2*G172))^2/('SITE DATA'!$F$27+(0.8*G172))</f>
        <v>6.1797752808988804E-2</v>
      </c>
      <c r="K172" s="174">
        <f t="shared" si="8"/>
        <v>89</v>
      </c>
      <c r="L172" s="394">
        <f>('SITE DATA'!$F$28-(0.2*G172))^2/('SITE DATA'!$F$28+(0.8*G172))</f>
        <v>6.1797752808988804E-2</v>
      </c>
      <c r="M172" s="174">
        <f t="shared" si="12"/>
        <v>89</v>
      </c>
    </row>
    <row r="173" spans="2:13" hidden="1" x14ac:dyDescent="0.2">
      <c r="B173" s="397"/>
      <c r="C173" s="158"/>
      <c r="D173" s="158"/>
      <c r="E173" s="158"/>
      <c r="F173" s="158"/>
      <c r="G173" s="393">
        <f t="shared" si="10"/>
        <v>1.1111111111111107</v>
      </c>
      <c r="H173" s="394">
        <f>('SITE DATA'!$F$26-(0.2*G173))^2/('SITE DATA'!$F$26+(0.8*G173))</f>
        <v>5.5555555555555539E-2</v>
      </c>
      <c r="I173" s="174">
        <f t="shared" si="11"/>
        <v>90</v>
      </c>
      <c r="J173" s="394">
        <f>('SITE DATA'!$F$27-(0.2*G173))^2/('SITE DATA'!$F$27+(0.8*G173))</f>
        <v>5.5555555555555539E-2</v>
      </c>
      <c r="K173" s="174">
        <f t="shared" si="8"/>
        <v>90</v>
      </c>
      <c r="L173" s="394">
        <f>('SITE DATA'!$F$28-(0.2*G173))^2/('SITE DATA'!$F$28+(0.8*G173))</f>
        <v>5.5555555555555539E-2</v>
      </c>
      <c r="M173" s="174">
        <f t="shared" si="12"/>
        <v>90</v>
      </c>
    </row>
    <row r="174" spans="2:13" hidden="1" x14ac:dyDescent="0.2">
      <c r="B174" s="397"/>
      <c r="C174" s="158"/>
      <c r="D174" s="158"/>
      <c r="E174" s="158"/>
      <c r="F174" s="158"/>
      <c r="G174" s="393">
        <f t="shared" si="10"/>
        <v>0.98901098901098905</v>
      </c>
      <c r="H174" s="394">
        <f>('SITE DATA'!$F$26-(0.2*G174))^2/('SITE DATA'!$F$26+(0.8*G174))</f>
        <v>4.9450549450549455E-2</v>
      </c>
      <c r="I174" s="174">
        <f t="shared" si="11"/>
        <v>91</v>
      </c>
      <c r="J174" s="394">
        <f>('SITE DATA'!$F$27-(0.2*G174))^2/('SITE DATA'!$F$27+(0.8*G174))</f>
        <v>4.9450549450549455E-2</v>
      </c>
      <c r="K174" s="174">
        <f t="shared" si="8"/>
        <v>91</v>
      </c>
      <c r="L174" s="394">
        <f>('SITE DATA'!$F$28-(0.2*G174))^2/('SITE DATA'!$F$28+(0.8*G174))</f>
        <v>4.9450549450549455E-2</v>
      </c>
      <c r="M174" s="174">
        <f t="shared" si="12"/>
        <v>91</v>
      </c>
    </row>
    <row r="175" spans="2:13" hidden="1" x14ac:dyDescent="0.2">
      <c r="B175" s="397"/>
      <c r="C175" s="158"/>
      <c r="D175" s="158"/>
      <c r="E175" s="158"/>
      <c r="F175" s="158"/>
      <c r="G175" s="393">
        <f t="shared" si="10"/>
        <v>0.86956521739130466</v>
      </c>
      <c r="H175" s="394">
        <f>('SITE DATA'!$F$26-(0.2*G175))^2/('SITE DATA'!$F$26+(0.8*G175))</f>
        <v>4.3478260869565237E-2</v>
      </c>
      <c r="I175" s="174">
        <f t="shared" si="11"/>
        <v>92</v>
      </c>
      <c r="J175" s="394">
        <f>('SITE DATA'!$F$27-(0.2*G175))^2/('SITE DATA'!$F$27+(0.8*G175))</f>
        <v>4.3478260869565237E-2</v>
      </c>
      <c r="K175" s="174">
        <f t="shared" si="8"/>
        <v>92</v>
      </c>
      <c r="L175" s="394">
        <f>('SITE DATA'!$F$28-(0.2*G175))^2/('SITE DATA'!$F$28+(0.8*G175))</f>
        <v>4.3478260869565237E-2</v>
      </c>
      <c r="M175" s="174">
        <f t="shared" si="12"/>
        <v>92</v>
      </c>
    </row>
    <row r="176" spans="2:13" hidden="1" x14ac:dyDescent="0.2">
      <c r="B176" s="397"/>
      <c r="C176" s="158"/>
      <c r="D176" s="158"/>
      <c r="E176" s="158"/>
      <c r="F176" s="158"/>
      <c r="G176" s="393">
        <f t="shared" si="10"/>
        <v>0.75268817204301008</v>
      </c>
      <c r="H176" s="394">
        <f>('SITE DATA'!$F$26-(0.2*G176))^2/('SITE DATA'!$F$26+(0.8*G176))</f>
        <v>3.7634408602150504E-2</v>
      </c>
      <c r="I176" s="174">
        <f t="shared" si="11"/>
        <v>93</v>
      </c>
      <c r="J176" s="394">
        <f>('SITE DATA'!$F$27-(0.2*G176))^2/('SITE DATA'!$F$27+(0.8*G176))</f>
        <v>3.7634408602150504E-2</v>
      </c>
      <c r="K176" s="174">
        <f t="shared" si="8"/>
        <v>93</v>
      </c>
      <c r="L176" s="394">
        <f>('SITE DATA'!$F$28-(0.2*G176))^2/('SITE DATA'!$F$28+(0.8*G176))</f>
        <v>3.7634408602150504E-2</v>
      </c>
      <c r="M176" s="174">
        <f t="shared" si="12"/>
        <v>93</v>
      </c>
    </row>
    <row r="177" spans="2:14" hidden="1" x14ac:dyDescent="0.2">
      <c r="B177" s="397"/>
      <c r="C177" s="158"/>
      <c r="D177" s="158"/>
      <c r="E177" s="158"/>
      <c r="F177" s="158"/>
      <c r="G177" s="393">
        <f t="shared" si="10"/>
        <v>0.63829787234042534</v>
      </c>
      <c r="H177" s="394">
        <f>('SITE DATA'!$F$26-(0.2*G177))^2/('SITE DATA'!$F$26+(0.8*G177))</f>
        <v>3.1914893617021267E-2</v>
      </c>
      <c r="I177" s="174">
        <f t="shared" si="11"/>
        <v>94</v>
      </c>
      <c r="J177" s="394">
        <f>('SITE DATA'!$F$27-(0.2*G177))^2/('SITE DATA'!$F$27+(0.8*G177))</f>
        <v>3.1914893617021267E-2</v>
      </c>
      <c r="K177" s="174">
        <f t="shared" si="8"/>
        <v>94</v>
      </c>
      <c r="L177" s="394">
        <f>('SITE DATA'!$F$28-(0.2*G177))^2/('SITE DATA'!$F$28+(0.8*G177))</f>
        <v>3.1914893617021267E-2</v>
      </c>
      <c r="M177" s="174">
        <f t="shared" si="12"/>
        <v>94</v>
      </c>
    </row>
    <row r="178" spans="2:14" hidden="1" x14ac:dyDescent="0.2">
      <c r="B178" s="397"/>
      <c r="C178" s="158"/>
      <c r="D178" s="158"/>
      <c r="E178" s="158"/>
      <c r="F178" s="158"/>
      <c r="G178" s="393">
        <f t="shared" si="10"/>
        <v>0.52631578947368496</v>
      </c>
      <c r="H178" s="394">
        <f>('SITE DATA'!$F$26-(0.2*G178))^2/('SITE DATA'!$F$26+(0.8*G178))</f>
        <v>2.6315789473684247E-2</v>
      </c>
      <c r="I178" s="174">
        <f t="shared" si="11"/>
        <v>95</v>
      </c>
      <c r="J178" s="394">
        <f>('SITE DATA'!$F$27-(0.2*G178))^2/('SITE DATA'!$F$27+(0.8*G178))</f>
        <v>2.6315789473684247E-2</v>
      </c>
      <c r="K178" s="174">
        <f t="shared" si="8"/>
        <v>95</v>
      </c>
      <c r="L178" s="394">
        <f>('SITE DATA'!$F$28-(0.2*G178))^2/('SITE DATA'!$F$28+(0.8*G178))</f>
        <v>2.6315789473684247E-2</v>
      </c>
      <c r="M178" s="174">
        <f t="shared" si="12"/>
        <v>95</v>
      </c>
    </row>
    <row r="179" spans="2:14" hidden="1" x14ac:dyDescent="0.2">
      <c r="B179" s="397"/>
      <c r="C179" s="158"/>
      <c r="D179" s="158"/>
      <c r="E179" s="158"/>
      <c r="F179" s="158"/>
      <c r="G179" s="393">
        <f t="shared" si="10"/>
        <v>0.41666666666666607</v>
      </c>
      <c r="H179" s="394">
        <f>('SITE DATA'!$F$26-(0.2*G179))^2/('SITE DATA'!$F$26+(0.8*G179))</f>
        <v>2.0833333333333304E-2</v>
      </c>
      <c r="I179" s="174">
        <f t="shared" si="11"/>
        <v>96</v>
      </c>
      <c r="J179" s="394">
        <f>('SITE DATA'!$F$27-(0.2*G179))^2/('SITE DATA'!$F$27+(0.8*G179))</f>
        <v>2.0833333333333304E-2</v>
      </c>
      <c r="K179" s="174">
        <f t="shared" si="8"/>
        <v>96</v>
      </c>
      <c r="L179" s="394">
        <f>('SITE DATA'!$F$28-(0.2*G179))^2/('SITE DATA'!$F$28+(0.8*G179))</f>
        <v>2.0833333333333304E-2</v>
      </c>
      <c r="M179" s="174">
        <f t="shared" si="12"/>
        <v>96</v>
      </c>
    </row>
    <row r="180" spans="2:14" hidden="1" x14ac:dyDescent="0.2">
      <c r="B180" s="397"/>
      <c r="C180" s="158"/>
      <c r="D180" s="158"/>
      <c r="E180" s="158"/>
      <c r="F180" s="158"/>
      <c r="G180" s="393">
        <f t="shared" si="10"/>
        <v>0.3092783505154646</v>
      </c>
      <c r="H180" s="394">
        <f>('SITE DATA'!$F$26-(0.2*G180))^2/('SITE DATA'!$F$26+(0.8*G180))</f>
        <v>1.5463917525773231E-2</v>
      </c>
      <c r="I180" s="174">
        <f t="shared" si="11"/>
        <v>97</v>
      </c>
      <c r="J180" s="394">
        <f>('SITE DATA'!$F$27-(0.2*G180))^2/('SITE DATA'!$F$27+(0.8*G180))</f>
        <v>1.5463917525773231E-2</v>
      </c>
      <c r="K180" s="174">
        <f t="shared" si="8"/>
        <v>97</v>
      </c>
      <c r="L180" s="394">
        <f>('SITE DATA'!$F$28-(0.2*G180))^2/('SITE DATA'!$F$28+(0.8*G180))</f>
        <v>1.5463917525773231E-2</v>
      </c>
      <c r="M180" s="174">
        <f t="shared" si="12"/>
        <v>97</v>
      </c>
    </row>
    <row r="181" spans="2:14" hidden="1" x14ac:dyDescent="0.2">
      <c r="B181" s="397"/>
      <c r="C181" s="158"/>
      <c r="D181" s="158"/>
      <c r="E181" s="158"/>
      <c r="F181" s="158"/>
      <c r="G181" s="393">
        <f t="shared" si="10"/>
        <v>0.20408163265306101</v>
      </c>
      <c r="H181" s="394">
        <f>('SITE DATA'!$F$26-(0.2*G181))^2/('SITE DATA'!$F$26+(0.8*G181))</f>
        <v>1.0204081632653052E-2</v>
      </c>
      <c r="I181" s="174">
        <f t="shared" si="11"/>
        <v>98</v>
      </c>
      <c r="J181" s="394">
        <f>('SITE DATA'!$F$27-(0.2*G181))^2/('SITE DATA'!$F$27+(0.8*G181))</f>
        <v>1.0204081632653052E-2</v>
      </c>
      <c r="K181" s="174">
        <f t="shared" si="8"/>
        <v>98</v>
      </c>
      <c r="L181" s="394">
        <f>('SITE DATA'!$F$28-(0.2*G181))^2/('SITE DATA'!$F$28+(0.8*G181))</f>
        <v>1.0204081632653052E-2</v>
      </c>
      <c r="M181" s="174">
        <f t="shared" si="12"/>
        <v>98</v>
      </c>
    </row>
    <row r="182" spans="2:14" hidden="1" x14ac:dyDescent="0.2">
      <c r="B182" s="397"/>
      <c r="C182" s="158"/>
      <c r="D182" s="158"/>
      <c r="E182" s="158"/>
      <c r="F182" s="158"/>
      <c r="G182" s="158"/>
      <c r="H182" s="158"/>
      <c r="I182" s="158"/>
      <c r="J182" s="158"/>
      <c r="K182" s="363"/>
      <c r="L182" s="158"/>
      <c r="M182" s="158"/>
      <c r="N182" s="158"/>
    </row>
    <row r="183" spans="2:14" hidden="1" x14ac:dyDescent="0.2">
      <c r="B183" s="397"/>
      <c r="C183" s="158"/>
      <c r="D183" s="158"/>
      <c r="E183" s="158"/>
      <c r="F183" s="158"/>
      <c r="G183" s="158"/>
      <c r="H183" s="158"/>
      <c r="I183" s="158"/>
      <c r="J183" s="158"/>
      <c r="K183" s="363"/>
      <c r="L183" s="158"/>
      <c r="M183" s="158"/>
      <c r="N183" s="158"/>
    </row>
    <row r="184" spans="2:14" hidden="1" x14ac:dyDescent="0.2">
      <c r="B184" s="397"/>
      <c r="C184" s="158"/>
      <c r="D184" s="158"/>
      <c r="E184" s="158"/>
      <c r="F184" s="158"/>
      <c r="G184" s="158"/>
      <c r="H184" s="158"/>
      <c r="I184" s="158"/>
      <c r="J184" s="158"/>
      <c r="K184" s="363"/>
      <c r="L184" s="158"/>
      <c r="M184" s="158"/>
      <c r="N184" s="158"/>
    </row>
    <row r="185" spans="2:14" hidden="1" x14ac:dyDescent="0.2">
      <c r="B185" s="397"/>
      <c r="C185" s="158"/>
      <c r="D185" s="158"/>
      <c r="E185" s="158"/>
      <c r="F185" s="158"/>
      <c r="G185" s="158"/>
      <c r="H185" s="158"/>
      <c r="I185" s="158"/>
      <c r="J185" s="158"/>
      <c r="K185" s="363"/>
      <c r="L185" s="158"/>
      <c r="M185" s="158"/>
      <c r="N185" s="158"/>
    </row>
    <row r="186" spans="2:14" hidden="1" x14ac:dyDescent="0.2">
      <c r="B186" s="397"/>
      <c r="C186" s="158"/>
      <c r="D186" s="158"/>
      <c r="E186" s="158"/>
      <c r="F186" s="158"/>
      <c r="G186" s="158"/>
      <c r="H186" s="158"/>
      <c r="I186" s="158"/>
      <c r="J186" s="158"/>
      <c r="K186" s="363"/>
      <c r="L186" s="158"/>
      <c r="M186" s="158"/>
      <c r="N186" s="158"/>
    </row>
    <row r="187" spans="2:14" hidden="1" x14ac:dyDescent="0.2">
      <c r="B187" s="397"/>
      <c r="C187" s="158"/>
      <c r="D187" s="158"/>
      <c r="E187" s="158"/>
      <c r="F187" s="158"/>
      <c r="G187" s="158"/>
      <c r="H187" s="158"/>
      <c r="I187" s="158"/>
      <c r="J187" s="158"/>
      <c r="K187" s="363"/>
      <c r="L187" s="158"/>
      <c r="M187" s="158"/>
      <c r="N187" s="158"/>
    </row>
    <row r="188" spans="2:14" hidden="1" x14ac:dyDescent="0.2">
      <c r="B188" s="397"/>
      <c r="C188" s="158"/>
      <c r="D188" s="158"/>
      <c r="E188" s="158"/>
      <c r="F188" s="158"/>
      <c r="G188" s="158"/>
      <c r="H188" s="158"/>
      <c r="I188" s="158"/>
      <c r="J188" s="158"/>
      <c r="K188" s="363"/>
      <c r="L188" s="158"/>
      <c r="M188" s="158"/>
      <c r="N188" s="158"/>
    </row>
    <row r="189" spans="2:14" hidden="1" x14ac:dyDescent="0.2">
      <c r="B189" s="397"/>
      <c r="C189" s="158"/>
      <c r="D189" s="158"/>
      <c r="E189" s="158"/>
      <c r="F189" s="158"/>
      <c r="G189" s="158"/>
      <c r="H189" s="158"/>
      <c r="I189" s="158"/>
      <c r="J189" s="158"/>
      <c r="K189" s="363"/>
      <c r="L189" s="158"/>
      <c r="M189" s="158"/>
      <c r="N189" s="158"/>
    </row>
    <row r="190" spans="2:14" hidden="1" x14ac:dyDescent="0.2">
      <c r="B190" s="397"/>
      <c r="C190" s="158"/>
      <c r="D190" s="158"/>
      <c r="E190" s="158"/>
      <c r="F190" s="158"/>
      <c r="G190" s="158"/>
      <c r="H190" s="158"/>
      <c r="I190" s="158"/>
      <c r="J190" s="158"/>
      <c r="K190" s="363"/>
      <c r="L190" s="158"/>
      <c r="M190" s="158"/>
      <c r="N190" s="158"/>
    </row>
    <row r="191" spans="2:14" hidden="1" x14ac:dyDescent="0.2">
      <c r="B191" s="397"/>
      <c r="C191" s="158"/>
      <c r="D191" s="158"/>
      <c r="E191" s="158"/>
      <c r="F191" s="158"/>
      <c r="G191" s="158"/>
      <c r="H191" s="158"/>
      <c r="I191" s="158"/>
      <c r="J191" s="158"/>
      <c r="K191" s="363"/>
      <c r="L191" s="158"/>
      <c r="M191" s="158"/>
      <c r="N191" s="158"/>
    </row>
    <row r="192" spans="2:14" hidden="1" x14ac:dyDescent="0.2">
      <c r="B192" s="397"/>
      <c r="C192" s="158"/>
      <c r="D192" s="158"/>
      <c r="E192" s="158"/>
      <c r="F192" s="158"/>
      <c r="G192" s="158"/>
      <c r="H192" s="158"/>
      <c r="I192" s="158"/>
      <c r="J192" s="158"/>
      <c r="K192" s="363"/>
      <c r="L192" s="158"/>
      <c r="M192" s="158"/>
      <c r="N192" s="158"/>
    </row>
    <row r="193" spans="1:27" hidden="1" x14ac:dyDescent="0.2">
      <c r="B193" s="397"/>
      <c r="C193" s="158"/>
      <c r="D193" s="158"/>
      <c r="E193" s="158"/>
      <c r="F193" s="158"/>
      <c r="G193" s="158"/>
      <c r="H193" s="158"/>
      <c r="I193" s="158"/>
      <c r="J193" s="158"/>
      <c r="K193" s="363"/>
      <c r="L193" s="158"/>
      <c r="M193" s="158"/>
      <c r="N193" s="158"/>
    </row>
    <row r="194" spans="1:27" hidden="1" x14ac:dyDescent="0.2">
      <c r="B194" s="397"/>
      <c r="C194" s="158"/>
      <c r="D194" s="158"/>
      <c r="E194" s="158"/>
      <c r="F194" s="158"/>
      <c r="G194" s="158"/>
      <c r="H194" s="158"/>
      <c r="I194" s="158"/>
      <c r="J194" s="158"/>
      <c r="K194" s="363"/>
      <c r="L194" s="158"/>
      <c r="M194" s="158"/>
      <c r="N194" s="158"/>
    </row>
    <row r="195" spans="1:27" hidden="1" x14ac:dyDescent="0.2">
      <c r="B195" s="397"/>
      <c r="C195" s="158"/>
      <c r="D195" s="158"/>
      <c r="E195" s="158"/>
      <c r="F195" s="158"/>
      <c r="G195" s="158"/>
      <c r="H195" s="158"/>
      <c r="I195" s="158"/>
      <c r="J195" s="158"/>
      <c r="K195" s="363"/>
      <c r="L195" s="158"/>
      <c r="M195" s="158"/>
      <c r="N195" s="158"/>
    </row>
    <row r="196" spans="1:27" hidden="1" x14ac:dyDescent="0.2">
      <c r="B196" s="397"/>
      <c r="C196" s="158"/>
      <c r="D196" s="158"/>
      <c r="E196" s="158"/>
      <c r="F196" s="158"/>
      <c r="G196" s="158"/>
      <c r="H196" s="158"/>
      <c r="I196" s="158"/>
      <c r="J196" s="158"/>
      <c r="K196" s="363"/>
      <c r="L196" s="158"/>
      <c r="M196" s="158"/>
      <c r="N196" s="158"/>
    </row>
    <row r="197" spans="1:27" hidden="1" x14ac:dyDescent="0.2">
      <c r="B197" s="158"/>
      <c r="C197" s="158"/>
      <c r="D197" s="158"/>
      <c r="E197" s="158"/>
      <c r="F197" s="158"/>
      <c r="G197" s="158"/>
      <c r="H197" s="158"/>
      <c r="I197" s="158"/>
      <c r="J197" s="158"/>
      <c r="K197" s="363"/>
      <c r="L197" s="158"/>
      <c r="M197" s="158"/>
      <c r="N197" s="158"/>
    </row>
    <row r="198" spans="1:27" hidden="1" x14ac:dyDescent="0.2">
      <c r="B198" s="158"/>
      <c r="C198" s="158"/>
      <c r="D198" s="158"/>
      <c r="E198" s="158"/>
      <c r="F198" s="158"/>
      <c r="G198" s="158"/>
      <c r="H198" s="158"/>
      <c r="I198" s="158"/>
      <c r="J198" s="158"/>
      <c r="K198" s="363"/>
      <c r="L198" s="158"/>
      <c r="M198" s="158"/>
      <c r="N198" s="158"/>
    </row>
    <row r="199" spans="1:27" hidden="1" x14ac:dyDescent="0.2">
      <c r="B199" s="158"/>
      <c r="C199" s="158"/>
      <c r="D199" s="158"/>
      <c r="E199" s="158"/>
      <c r="F199" s="158"/>
      <c r="G199" s="158"/>
      <c r="H199" s="158"/>
      <c r="I199" s="158"/>
      <c r="J199" s="158"/>
      <c r="K199" s="363"/>
      <c r="L199" s="158"/>
      <c r="M199" s="158"/>
      <c r="N199" s="158"/>
    </row>
    <row r="200" spans="1:27" hidden="1" x14ac:dyDescent="0.2">
      <c r="B200" s="158"/>
      <c r="C200" s="158"/>
      <c r="D200" s="158"/>
      <c r="E200" s="158"/>
      <c r="F200" s="158"/>
      <c r="G200" s="158"/>
      <c r="H200" s="158"/>
      <c r="I200" s="158"/>
      <c r="J200" s="158"/>
      <c r="K200" s="363"/>
      <c r="L200" s="158"/>
      <c r="M200" s="158"/>
      <c r="N200" s="158"/>
    </row>
    <row r="201" spans="1:27" hidden="1" x14ac:dyDescent="0.2">
      <c r="B201" s="158"/>
      <c r="C201" s="158"/>
      <c r="D201" s="158"/>
      <c r="E201" s="158"/>
      <c r="F201" s="158"/>
      <c r="G201" s="158"/>
      <c r="H201" s="158"/>
      <c r="I201" s="158"/>
      <c r="J201" s="158"/>
      <c r="K201" s="363"/>
      <c r="L201" s="158"/>
      <c r="M201" s="158"/>
      <c r="N201" s="158"/>
    </row>
    <row r="202" spans="1:27" hidden="1" x14ac:dyDescent="0.2">
      <c r="B202" s="158"/>
      <c r="C202" s="158"/>
      <c r="D202" s="158"/>
      <c r="E202" s="158"/>
      <c r="F202" s="158"/>
      <c r="G202" s="158"/>
      <c r="H202" s="158"/>
      <c r="I202" s="158"/>
      <c r="J202" s="158"/>
      <c r="K202" s="363"/>
      <c r="L202" s="158"/>
      <c r="M202" s="158"/>
      <c r="N202" s="158"/>
    </row>
    <row r="203" spans="1:27" hidden="1" x14ac:dyDescent="0.2">
      <c r="B203" s="158"/>
      <c r="C203" s="158"/>
      <c r="D203" s="158"/>
      <c r="E203" s="158"/>
      <c r="F203" s="158"/>
      <c r="G203" s="158"/>
      <c r="H203" s="158"/>
      <c r="I203" s="158"/>
      <c r="J203" s="158"/>
      <c r="K203" s="363"/>
      <c r="L203" s="158"/>
      <c r="M203" s="158"/>
      <c r="N203" s="158"/>
    </row>
    <row r="204" spans="1:27" hidden="1" x14ac:dyDescent="0.2">
      <c r="B204" s="158"/>
      <c r="C204" s="158"/>
      <c r="D204" s="158"/>
      <c r="E204" s="158"/>
      <c r="F204" s="158"/>
      <c r="G204" s="158"/>
      <c r="H204" s="158"/>
      <c r="I204" s="158"/>
      <c r="J204" s="158"/>
      <c r="K204" s="363"/>
      <c r="L204" s="158"/>
      <c r="M204" s="158"/>
      <c r="N204" s="158"/>
    </row>
    <row r="205" spans="1:27" hidden="1" x14ac:dyDescent="0.2">
      <c r="B205" s="158"/>
      <c r="C205" s="158"/>
      <c r="D205" s="158"/>
      <c r="E205" s="158"/>
      <c r="F205" s="158"/>
      <c r="G205" s="158"/>
      <c r="H205" s="158"/>
      <c r="I205" s="158"/>
      <c r="J205" s="158"/>
      <c r="K205" s="363"/>
      <c r="L205" s="158"/>
      <c r="M205" s="158"/>
      <c r="N205" s="158"/>
    </row>
    <row r="206" spans="1:27" ht="15.75" hidden="1" x14ac:dyDescent="0.2">
      <c r="B206" s="564"/>
      <c r="C206" s="564"/>
      <c r="D206" s="564"/>
      <c r="E206" s="564"/>
      <c r="F206" s="565"/>
      <c r="G206" s="565"/>
      <c r="H206" s="565"/>
      <c r="I206" s="565"/>
      <c r="J206" s="565"/>
      <c r="K206" s="565"/>
      <c r="L206" s="565"/>
      <c r="M206" s="565"/>
      <c r="N206" s="158"/>
      <c r="Z206" s="158"/>
      <c r="AA206" s="158"/>
    </row>
    <row r="207" spans="1:27" s="523" customFormat="1" x14ac:dyDescent="0.2">
      <c r="A207" s="737" t="s">
        <v>449</v>
      </c>
      <c r="B207" s="737"/>
      <c r="C207" s="737"/>
      <c r="D207" s="737"/>
      <c r="E207" s="737"/>
      <c r="F207" s="737"/>
      <c r="G207" s="737"/>
      <c r="H207" s="737"/>
      <c r="I207" s="737"/>
      <c r="J207" s="737"/>
      <c r="K207" s="737"/>
      <c r="L207" s="737"/>
      <c r="M207" s="507"/>
    </row>
    <row r="208" spans="1:27" x14ac:dyDescent="0.2">
      <c r="A208" s="737"/>
      <c r="B208" s="737"/>
      <c r="C208" s="737"/>
      <c r="D208" s="737"/>
      <c r="E208" s="737"/>
      <c r="F208" s="737"/>
      <c r="G208" s="737"/>
      <c r="H208" s="737"/>
      <c r="I208" s="737"/>
      <c r="J208" s="737"/>
      <c r="K208" s="737"/>
      <c r="L208" s="737"/>
      <c r="M208" s="507"/>
      <c r="N208" s="507"/>
      <c r="O208" s="507"/>
      <c r="P208" s="507"/>
      <c r="Q208" s="507"/>
      <c r="R208" s="507"/>
      <c r="S208" s="507"/>
      <c r="T208" s="507"/>
      <c r="U208" s="507"/>
      <c r="V208" s="507"/>
      <c r="W208" s="507"/>
      <c r="X208" s="507"/>
      <c r="Y208" s="507"/>
      <c r="Z208" s="507"/>
    </row>
    <row r="209" spans="1:26" ht="15.75" x14ac:dyDescent="0.2">
      <c r="A209" s="738" t="s">
        <v>436</v>
      </c>
      <c r="B209" s="738"/>
      <c r="C209" s="738"/>
      <c r="D209" s="738"/>
      <c r="E209" s="738"/>
      <c r="F209" s="738"/>
      <c r="G209" s="738"/>
      <c r="H209" s="738"/>
      <c r="I209" s="738"/>
      <c r="J209" s="738"/>
      <c r="K209" s="738"/>
      <c r="L209" s="738"/>
      <c r="M209" s="507"/>
      <c r="N209" s="507"/>
      <c r="O209" s="507"/>
      <c r="P209" s="507"/>
      <c r="Q209" s="507"/>
      <c r="R209" s="507"/>
      <c r="S209" s="507"/>
      <c r="T209" s="507"/>
      <c r="U209" s="507"/>
      <c r="V209" s="507"/>
      <c r="W209" s="507"/>
      <c r="X209" s="507"/>
      <c r="Y209" s="507"/>
      <c r="Z209" s="507"/>
    </row>
    <row r="210" spans="1:26" x14ac:dyDescent="0.2">
      <c r="A210" s="737" t="s">
        <v>450</v>
      </c>
      <c r="B210" s="737"/>
      <c r="C210" s="737"/>
      <c r="D210" s="737"/>
      <c r="E210" s="737"/>
      <c r="F210" s="737"/>
      <c r="G210" s="737"/>
      <c r="H210" s="737"/>
      <c r="I210" s="737"/>
      <c r="J210" s="737"/>
      <c r="K210" s="737"/>
      <c r="L210" s="737"/>
      <c r="M210" s="507"/>
      <c r="N210" s="507"/>
      <c r="O210" s="507"/>
      <c r="P210" s="507"/>
      <c r="Q210" s="507"/>
      <c r="R210" s="507"/>
      <c r="S210" s="507"/>
      <c r="T210" s="507"/>
      <c r="U210" s="507"/>
      <c r="V210" s="507"/>
      <c r="W210" s="507"/>
      <c r="X210" s="507"/>
      <c r="Y210" s="507"/>
      <c r="Z210" s="507"/>
    </row>
    <row r="211" spans="1:26" x14ac:dyDescent="0.2">
      <c r="A211" s="737"/>
      <c r="B211" s="737"/>
      <c r="C211" s="737"/>
      <c r="D211" s="737"/>
      <c r="E211" s="737"/>
      <c r="F211" s="737"/>
      <c r="G211" s="737"/>
      <c r="H211" s="737"/>
      <c r="I211" s="737"/>
      <c r="J211" s="737"/>
      <c r="K211" s="737"/>
      <c r="L211" s="737"/>
      <c r="M211" s="507"/>
      <c r="N211" s="507"/>
      <c r="O211" s="507"/>
      <c r="P211" s="507"/>
      <c r="Q211" s="507"/>
      <c r="R211" s="507"/>
      <c r="S211" s="507"/>
      <c r="T211" s="507"/>
      <c r="U211" s="507"/>
      <c r="V211" s="507"/>
      <c r="W211" s="507"/>
      <c r="X211" s="507"/>
      <c r="Y211" s="507"/>
      <c r="Z211" s="507"/>
    </row>
    <row r="212" spans="1:26" ht="15.75" x14ac:dyDescent="0.2">
      <c r="A212" s="738" t="s">
        <v>436</v>
      </c>
      <c r="B212" s="738"/>
      <c r="C212" s="738"/>
      <c r="D212" s="738"/>
      <c r="E212" s="738"/>
      <c r="F212" s="738"/>
      <c r="G212" s="738"/>
      <c r="H212" s="738"/>
      <c r="I212" s="738"/>
      <c r="J212" s="738"/>
      <c r="K212" s="738"/>
      <c r="L212" s="738"/>
      <c r="M212" s="507"/>
      <c r="N212" s="507"/>
      <c r="O212" s="507"/>
      <c r="P212" s="507"/>
      <c r="Q212" s="507"/>
      <c r="R212" s="507"/>
      <c r="S212" s="507"/>
      <c r="T212" s="507"/>
      <c r="U212" s="507"/>
      <c r="V212" s="507"/>
      <c r="W212" s="507"/>
      <c r="X212" s="507"/>
      <c r="Y212" s="507"/>
      <c r="Z212" s="507"/>
    </row>
    <row r="213" spans="1:26" x14ac:dyDescent="0.2">
      <c r="A213" s="737" t="s">
        <v>451</v>
      </c>
      <c r="B213" s="737"/>
      <c r="C213" s="737"/>
      <c r="D213" s="737"/>
      <c r="E213" s="737"/>
      <c r="F213" s="737"/>
      <c r="G213" s="737"/>
      <c r="H213" s="737"/>
      <c r="I213" s="737"/>
      <c r="J213" s="737"/>
      <c r="K213" s="737"/>
      <c r="L213" s="737"/>
      <c r="M213" s="507"/>
      <c r="N213" s="507"/>
      <c r="O213" s="507"/>
      <c r="P213" s="507"/>
      <c r="Q213" s="507"/>
      <c r="R213" s="507"/>
      <c r="S213" s="507"/>
      <c r="T213" s="507"/>
      <c r="U213" s="507"/>
      <c r="V213" s="507"/>
      <c r="W213" s="507"/>
      <c r="X213" s="507"/>
      <c r="Y213" s="507"/>
      <c r="Z213" s="507"/>
    </row>
    <row r="214" spans="1:26" x14ac:dyDescent="0.2">
      <c r="A214" s="737"/>
      <c r="B214" s="737"/>
      <c r="C214" s="737"/>
      <c r="D214" s="737"/>
      <c r="E214" s="737"/>
      <c r="F214" s="737"/>
      <c r="G214" s="737"/>
      <c r="H214" s="737"/>
      <c r="I214" s="737"/>
      <c r="J214" s="737"/>
      <c r="K214" s="737"/>
      <c r="L214" s="737"/>
      <c r="M214" s="507"/>
      <c r="N214" s="507"/>
      <c r="O214" s="507"/>
      <c r="P214" s="507"/>
      <c r="Q214" s="507"/>
      <c r="R214" s="507"/>
      <c r="S214" s="507"/>
      <c r="T214" s="507"/>
      <c r="U214" s="507"/>
      <c r="V214" s="507"/>
      <c r="W214" s="507"/>
      <c r="X214" s="507"/>
      <c r="Y214" s="507"/>
      <c r="Z214" s="507"/>
    </row>
    <row r="215" spans="1:26" x14ac:dyDescent="0.2">
      <c r="B215" s="158"/>
      <c r="C215" s="158"/>
      <c r="D215" s="158"/>
      <c r="E215" s="158"/>
      <c r="F215" s="158"/>
      <c r="G215" s="158"/>
      <c r="H215" s="158"/>
      <c r="I215" s="158"/>
      <c r="J215" s="158"/>
      <c r="K215" s="363"/>
      <c r="L215" s="158"/>
      <c r="M215" s="158"/>
      <c r="N215" s="158"/>
    </row>
    <row r="216" spans="1:26" x14ac:dyDescent="0.2">
      <c r="B216" s="158"/>
      <c r="C216" s="158"/>
      <c r="D216" s="158"/>
      <c r="E216" s="158"/>
      <c r="F216" s="158"/>
      <c r="G216" s="158"/>
      <c r="H216" s="158"/>
      <c r="I216" s="158"/>
      <c r="J216" s="158"/>
      <c r="K216" s="363"/>
      <c r="L216" s="158"/>
      <c r="M216" s="158"/>
      <c r="N216" s="158"/>
    </row>
    <row r="217" spans="1:26" x14ac:dyDescent="0.2">
      <c r="B217" s="158"/>
      <c r="C217" s="158"/>
      <c r="D217" s="158"/>
      <c r="E217" s="158"/>
      <c r="F217" s="158"/>
      <c r="G217" s="158"/>
      <c r="H217" s="158"/>
      <c r="I217" s="158"/>
      <c r="J217" s="158"/>
      <c r="K217" s="363"/>
      <c r="L217" s="158"/>
      <c r="M217" s="158"/>
      <c r="N217" s="158"/>
    </row>
    <row r="218" spans="1:26" x14ac:dyDescent="0.2">
      <c r="B218" s="158"/>
      <c r="C218" s="158"/>
      <c r="D218" s="158"/>
      <c r="E218" s="158"/>
      <c r="F218" s="158"/>
      <c r="G218" s="158"/>
      <c r="H218" s="158"/>
      <c r="I218" s="158"/>
      <c r="J218" s="158"/>
      <c r="K218" s="363"/>
      <c r="L218" s="158"/>
      <c r="M218" s="158"/>
      <c r="N218" s="158"/>
    </row>
    <row r="219" spans="1:26" x14ac:dyDescent="0.2">
      <c r="B219" s="158"/>
      <c r="C219" s="158"/>
      <c r="D219" s="158"/>
      <c r="E219" s="158"/>
      <c r="F219" s="158"/>
      <c r="G219" s="158"/>
      <c r="H219" s="158"/>
      <c r="I219" s="158"/>
      <c r="J219" s="158"/>
      <c r="K219" s="363"/>
      <c r="L219" s="158"/>
      <c r="M219" s="158"/>
      <c r="N219" s="158"/>
    </row>
    <row r="220" spans="1:26" x14ac:dyDescent="0.2">
      <c r="B220" s="158"/>
      <c r="C220" s="158"/>
      <c r="D220" s="158"/>
      <c r="E220" s="158"/>
      <c r="F220" s="158"/>
      <c r="G220" s="158"/>
      <c r="H220" s="158"/>
      <c r="I220" s="158"/>
      <c r="J220" s="158"/>
      <c r="K220" s="363"/>
      <c r="L220" s="158"/>
      <c r="M220" s="158"/>
      <c r="N220" s="158"/>
    </row>
    <row r="221" spans="1:26" x14ac:dyDescent="0.2">
      <c r="B221" s="158"/>
      <c r="C221" s="158"/>
      <c r="D221" s="158"/>
      <c r="E221" s="158"/>
      <c r="F221" s="158"/>
      <c r="G221" s="158"/>
      <c r="H221" s="158"/>
      <c r="I221" s="158"/>
      <c r="J221" s="158"/>
      <c r="K221" s="363"/>
      <c r="L221" s="158"/>
      <c r="M221" s="158"/>
      <c r="N221" s="158"/>
    </row>
    <row r="222" spans="1:26" x14ac:dyDescent="0.2">
      <c r="B222" s="158"/>
      <c r="C222" s="158"/>
      <c r="D222" s="158"/>
      <c r="E222" s="158"/>
      <c r="F222" s="158"/>
      <c r="G222" s="158"/>
      <c r="H222" s="158"/>
      <c r="I222" s="158"/>
      <c r="J222" s="158"/>
      <c r="K222" s="363"/>
      <c r="L222" s="158"/>
      <c r="M222" s="158"/>
      <c r="N222" s="158"/>
    </row>
    <row r="223" spans="1:26" x14ac:dyDescent="0.2">
      <c r="B223" s="158"/>
      <c r="C223" s="158"/>
      <c r="D223" s="158"/>
      <c r="E223" s="158"/>
      <c r="F223" s="158"/>
      <c r="G223" s="158"/>
      <c r="H223" s="158"/>
      <c r="I223" s="158"/>
      <c r="J223" s="158"/>
      <c r="K223" s="363"/>
      <c r="L223" s="158"/>
      <c r="M223" s="158"/>
      <c r="N223" s="158"/>
    </row>
    <row r="224" spans="1:26" x14ac:dyDescent="0.2">
      <c r="B224" s="158"/>
      <c r="C224" s="158"/>
      <c r="D224" s="158"/>
      <c r="E224" s="158"/>
      <c r="F224" s="158"/>
      <c r="G224" s="158"/>
      <c r="H224" s="158"/>
      <c r="I224" s="158"/>
      <c r="J224" s="158"/>
      <c r="K224" s="363"/>
      <c r="L224" s="158"/>
      <c r="M224" s="158"/>
      <c r="N224" s="158"/>
    </row>
    <row r="225" spans="2:14" x14ac:dyDescent="0.2">
      <c r="B225" s="158"/>
      <c r="C225" s="158"/>
      <c r="D225" s="158"/>
      <c r="E225" s="158"/>
      <c r="F225" s="158"/>
      <c r="G225" s="158"/>
      <c r="H225" s="158"/>
      <c r="I225" s="158"/>
      <c r="J225" s="158"/>
      <c r="K225" s="363"/>
      <c r="L225" s="158"/>
      <c r="M225" s="158"/>
      <c r="N225" s="158"/>
    </row>
    <row r="226" spans="2:14" x14ac:dyDescent="0.2">
      <c r="B226" s="158"/>
      <c r="C226" s="158"/>
      <c r="D226" s="158"/>
      <c r="E226" s="158"/>
      <c r="F226" s="158"/>
      <c r="G226" s="158"/>
      <c r="H226" s="158"/>
      <c r="I226" s="158"/>
      <c r="J226" s="158"/>
      <c r="K226" s="363"/>
      <c r="L226" s="158"/>
      <c r="M226" s="158"/>
      <c r="N226" s="158"/>
    </row>
    <row r="227" spans="2:14" x14ac:dyDescent="0.2">
      <c r="B227" s="158"/>
      <c r="C227" s="158"/>
      <c r="D227" s="158"/>
      <c r="E227" s="158"/>
      <c r="F227" s="158"/>
      <c r="G227" s="158"/>
      <c r="H227" s="158"/>
      <c r="I227" s="158"/>
      <c r="J227" s="158"/>
      <c r="K227" s="363"/>
      <c r="L227" s="158"/>
      <c r="M227" s="158"/>
      <c r="N227" s="158"/>
    </row>
    <row r="228" spans="2:14" x14ac:dyDescent="0.2">
      <c r="B228" s="158"/>
      <c r="C228" s="158"/>
      <c r="D228" s="158"/>
      <c r="E228" s="158"/>
      <c r="F228" s="158"/>
      <c r="G228" s="158"/>
      <c r="H228" s="158"/>
      <c r="I228" s="158"/>
      <c r="J228" s="158"/>
      <c r="K228" s="363"/>
      <c r="L228" s="158"/>
      <c r="M228" s="158"/>
      <c r="N228" s="158"/>
    </row>
    <row r="229" spans="2:14" x14ac:dyDescent="0.2">
      <c r="B229" s="158"/>
      <c r="C229" s="158"/>
      <c r="D229" s="158"/>
      <c r="E229" s="158"/>
      <c r="F229" s="158"/>
      <c r="G229" s="158"/>
      <c r="H229" s="158"/>
      <c r="I229" s="158"/>
      <c r="J229" s="158"/>
      <c r="K229" s="363"/>
      <c r="L229" s="158"/>
      <c r="M229" s="158"/>
      <c r="N229" s="158"/>
    </row>
    <row r="230" spans="2:14" x14ac:dyDescent="0.2">
      <c r="B230" s="158"/>
      <c r="C230" s="158"/>
      <c r="D230" s="158"/>
      <c r="E230" s="158"/>
      <c r="F230" s="158"/>
      <c r="G230" s="158"/>
      <c r="H230" s="158"/>
      <c r="I230" s="158"/>
      <c r="J230" s="158"/>
      <c r="K230" s="363"/>
      <c r="L230" s="158"/>
      <c r="M230" s="158"/>
      <c r="N230" s="158"/>
    </row>
    <row r="231" spans="2:14" x14ac:dyDescent="0.2">
      <c r="B231" s="158"/>
      <c r="C231" s="158"/>
      <c r="D231" s="158"/>
      <c r="E231" s="158"/>
      <c r="F231" s="158"/>
      <c r="G231" s="158"/>
      <c r="H231" s="158"/>
      <c r="I231" s="158"/>
      <c r="J231" s="158"/>
      <c r="K231" s="363"/>
      <c r="L231" s="158"/>
      <c r="M231" s="158"/>
      <c r="N231" s="158"/>
    </row>
    <row r="232" spans="2:14" x14ac:dyDescent="0.2">
      <c r="B232" s="158"/>
      <c r="C232" s="158"/>
      <c r="D232" s="158"/>
      <c r="E232" s="158"/>
      <c r="F232" s="158"/>
      <c r="G232" s="158"/>
      <c r="H232" s="158"/>
      <c r="I232" s="158"/>
      <c r="J232" s="158"/>
      <c r="K232" s="363"/>
      <c r="L232" s="158"/>
      <c r="M232" s="158"/>
      <c r="N232" s="158"/>
    </row>
    <row r="233" spans="2:14" s="507" customFormat="1" x14ac:dyDescent="0.2">
      <c r="K233" s="573"/>
    </row>
    <row r="234" spans="2:14" s="507" customFormat="1" x14ac:dyDescent="0.2">
      <c r="K234" s="573"/>
    </row>
    <row r="235" spans="2:14" s="507" customFormat="1" x14ac:dyDescent="0.2">
      <c r="K235" s="573"/>
    </row>
    <row r="236" spans="2:14" s="507" customFormat="1" x14ac:dyDescent="0.2">
      <c r="K236" s="573"/>
    </row>
    <row r="237" spans="2:14" s="507" customFormat="1" x14ac:dyDescent="0.2">
      <c r="K237" s="573"/>
    </row>
    <row r="238" spans="2:14" s="507" customFormat="1" x14ac:dyDescent="0.2">
      <c r="K238" s="573"/>
    </row>
    <row r="239" spans="2:14" s="507" customFormat="1" x14ac:dyDescent="0.2">
      <c r="K239" s="573"/>
    </row>
    <row r="240" spans="2:14" s="507" customFormat="1" x14ac:dyDescent="0.2">
      <c r="K240" s="573"/>
    </row>
    <row r="241" spans="11:11" s="507" customFormat="1" x14ac:dyDescent="0.2">
      <c r="K241" s="573"/>
    </row>
    <row r="242" spans="11:11" s="507" customFormat="1" x14ac:dyDescent="0.2">
      <c r="K242" s="573"/>
    </row>
    <row r="243" spans="11:11" s="507" customFormat="1" x14ac:dyDescent="0.2">
      <c r="K243" s="573"/>
    </row>
    <row r="244" spans="11:11" s="507" customFormat="1" x14ac:dyDescent="0.2">
      <c r="K244" s="573"/>
    </row>
    <row r="245" spans="11:11" s="507" customFormat="1" x14ac:dyDescent="0.2">
      <c r="K245" s="573"/>
    </row>
    <row r="246" spans="11:11" s="507" customFormat="1" x14ac:dyDescent="0.2">
      <c r="K246" s="573"/>
    </row>
    <row r="247" spans="11:11" s="507" customFormat="1" x14ac:dyDescent="0.2">
      <c r="K247" s="573"/>
    </row>
    <row r="248" spans="11:11" s="507" customFormat="1" x14ac:dyDescent="0.2">
      <c r="K248" s="573"/>
    </row>
    <row r="249" spans="11:11" s="507" customFormat="1" x14ac:dyDescent="0.2">
      <c r="K249" s="573"/>
    </row>
    <row r="250" spans="11:11" s="507" customFormat="1" x14ac:dyDescent="0.2">
      <c r="K250" s="573"/>
    </row>
    <row r="251" spans="11:11" s="507" customFormat="1" x14ac:dyDescent="0.2">
      <c r="K251" s="573"/>
    </row>
    <row r="252" spans="11:11" s="507" customFormat="1" x14ac:dyDescent="0.2">
      <c r="K252" s="573"/>
    </row>
    <row r="253" spans="11:11" s="507" customFormat="1" x14ac:dyDescent="0.2">
      <c r="K253" s="573"/>
    </row>
    <row r="254" spans="11:11" s="507" customFormat="1" x14ac:dyDescent="0.2">
      <c r="K254" s="573"/>
    </row>
    <row r="255" spans="11:11" s="507" customFormat="1" x14ac:dyDescent="0.2">
      <c r="K255" s="573"/>
    </row>
    <row r="256" spans="11:11" s="507" customFormat="1" x14ac:dyDescent="0.2">
      <c r="K256" s="573"/>
    </row>
    <row r="257" spans="11:11" s="507" customFormat="1" x14ac:dyDescent="0.2">
      <c r="K257" s="573"/>
    </row>
    <row r="258" spans="11:11" s="507" customFormat="1" x14ac:dyDescent="0.2">
      <c r="K258" s="573"/>
    </row>
    <row r="259" spans="11:11" s="507" customFormat="1" x14ac:dyDescent="0.2">
      <c r="K259" s="573"/>
    </row>
    <row r="260" spans="11:11" s="507" customFormat="1" x14ac:dyDescent="0.2">
      <c r="K260" s="573"/>
    </row>
    <row r="261" spans="11:11" s="507" customFormat="1" x14ac:dyDescent="0.2">
      <c r="K261" s="573"/>
    </row>
    <row r="262" spans="11:11" s="507" customFormat="1" x14ac:dyDescent="0.2">
      <c r="K262" s="573"/>
    </row>
    <row r="263" spans="11:11" s="507" customFormat="1" x14ac:dyDescent="0.2">
      <c r="K263" s="573"/>
    </row>
    <row r="264" spans="11:11" s="507" customFormat="1" x14ac:dyDescent="0.2">
      <c r="K264" s="573"/>
    </row>
    <row r="265" spans="11:11" s="507" customFormat="1" x14ac:dyDescent="0.2">
      <c r="K265" s="573"/>
    </row>
    <row r="266" spans="11:11" s="507" customFormat="1" x14ac:dyDescent="0.2">
      <c r="K266" s="573"/>
    </row>
    <row r="267" spans="11:11" s="507" customFormat="1" x14ac:dyDescent="0.2">
      <c r="K267" s="573"/>
    </row>
    <row r="268" spans="11:11" s="507" customFormat="1" x14ac:dyDescent="0.2">
      <c r="K268" s="573"/>
    </row>
    <row r="269" spans="11:11" s="507" customFormat="1" x14ac:dyDescent="0.2">
      <c r="K269" s="573"/>
    </row>
    <row r="270" spans="11:11" s="507" customFormat="1" x14ac:dyDescent="0.2">
      <c r="K270" s="573"/>
    </row>
    <row r="271" spans="11:11" s="507" customFormat="1" x14ac:dyDescent="0.2">
      <c r="K271" s="573"/>
    </row>
    <row r="272" spans="11:11" s="507" customFormat="1" x14ac:dyDescent="0.2">
      <c r="K272" s="573"/>
    </row>
    <row r="273" spans="11:11" s="507" customFormat="1" x14ac:dyDescent="0.2">
      <c r="K273" s="573"/>
    </row>
    <row r="274" spans="11:11" s="507" customFormat="1" x14ac:dyDescent="0.2">
      <c r="K274" s="573"/>
    </row>
    <row r="275" spans="11:11" s="507" customFormat="1" x14ac:dyDescent="0.2">
      <c r="K275" s="573"/>
    </row>
    <row r="276" spans="11:11" s="507" customFormat="1" x14ac:dyDescent="0.2">
      <c r="K276" s="573"/>
    </row>
    <row r="277" spans="11:11" s="507" customFormat="1" x14ac:dyDescent="0.2">
      <c r="K277" s="573"/>
    </row>
    <row r="278" spans="11:11" s="507" customFormat="1" x14ac:dyDescent="0.2">
      <c r="K278" s="573"/>
    </row>
    <row r="279" spans="11:11" s="507" customFormat="1" x14ac:dyDescent="0.2">
      <c r="K279" s="573"/>
    </row>
    <row r="280" spans="11:11" s="507" customFormat="1" x14ac:dyDescent="0.2">
      <c r="K280" s="573"/>
    </row>
    <row r="281" spans="11:11" s="507" customFormat="1" x14ac:dyDescent="0.2">
      <c r="K281" s="573"/>
    </row>
    <row r="282" spans="11:11" s="507" customFormat="1" x14ac:dyDescent="0.2">
      <c r="K282" s="573"/>
    </row>
    <row r="283" spans="11:11" s="507" customFormat="1" x14ac:dyDescent="0.2">
      <c r="K283" s="573"/>
    </row>
    <row r="284" spans="11:11" s="507" customFormat="1" x14ac:dyDescent="0.2">
      <c r="K284" s="573"/>
    </row>
    <row r="285" spans="11:11" s="507" customFormat="1" x14ac:dyDescent="0.2">
      <c r="K285" s="573"/>
    </row>
    <row r="286" spans="11:11" s="507" customFormat="1" x14ac:dyDescent="0.2">
      <c r="K286" s="573"/>
    </row>
    <row r="287" spans="11:11" s="507" customFormat="1" x14ac:dyDescent="0.2">
      <c r="K287" s="573"/>
    </row>
    <row r="288" spans="11:11" s="507" customFormat="1" x14ac:dyDescent="0.2">
      <c r="K288" s="573"/>
    </row>
    <row r="289" spans="11:11" s="507" customFormat="1" x14ac:dyDescent="0.2">
      <c r="K289" s="573"/>
    </row>
    <row r="290" spans="11:11" s="507" customFormat="1" x14ac:dyDescent="0.2">
      <c r="K290" s="573"/>
    </row>
    <row r="291" spans="11:11" s="507" customFormat="1" x14ac:dyDescent="0.2">
      <c r="K291" s="573"/>
    </row>
    <row r="292" spans="11:11" s="507" customFormat="1" x14ac:dyDescent="0.2">
      <c r="K292" s="573"/>
    </row>
    <row r="293" spans="11:11" s="507" customFormat="1" x14ac:dyDescent="0.2">
      <c r="K293" s="573"/>
    </row>
    <row r="294" spans="11:11" s="507" customFormat="1" x14ac:dyDescent="0.2">
      <c r="K294" s="573"/>
    </row>
    <row r="295" spans="11:11" s="507" customFormat="1" x14ac:dyDescent="0.2">
      <c r="K295" s="573"/>
    </row>
    <row r="296" spans="11:11" s="507" customFormat="1" x14ac:dyDescent="0.2">
      <c r="K296" s="573"/>
    </row>
    <row r="297" spans="11:11" s="507" customFormat="1" x14ac:dyDescent="0.2">
      <c r="K297" s="573"/>
    </row>
    <row r="298" spans="11:11" s="507" customFormat="1" x14ac:dyDescent="0.2">
      <c r="K298" s="573"/>
    </row>
    <row r="299" spans="11:11" s="507" customFormat="1" x14ac:dyDescent="0.2">
      <c r="K299" s="573"/>
    </row>
    <row r="300" spans="11:11" s="507" customFormat="1" x14ac:dyDescent="0.2">
      <c r="K300" s="573"/>
    </row>
    <row r="301" spans="11:11" s="507" customFormat="1" x14ac:dyDescent="0.2">
      <c r="K301" s="573"/>
    </row>
    <row r="302" spans="11:11" s="507" customFormat="1" x14ac:dyDescent="0.2">
      <c r="K302" s="573"/>
    </row>
    <row r="303" spans="11:11" s="507" customFormat="1" x14ac:dyDescent="0.2">
      <c r="K303" s="573"/>
    </row>
    <row r="304" spans="11:11" s="507" customFormat="1" x14ac:dyDescent="0.2">
      <c r="K304" s="573"/>
    </row>
    <row r="305" spans="11:11" s="507" customFormat="1" x14ac:dyDescent="0.2">
      <c r="K305" s="573"/>
    </row>
    <row r="306" spans="11:11" s="507" customFormat="1" x14ac:dyDescent="0.2">
      <c r="K306" s="573"/>
    </row>
    <row r="307" spans="11:11" s="507" customFormat="1" x14ac:dyDescent="0.2">
      <c r="K307" s="573"/>
    </row>
    <row r="308" spans="11:11" s="507" customFormat="1" x14ac:dyDescent="0.2">
      <c r="K308" s="573"/>
    </row>
    <row r="309" spans="11:11" s="507" customFormat="1" x14ac:dyDescent="0.2">
      <c r="K309" s="573"/>
    </row>
    <row r="310" spans="11:11" s="507" customFormat="1" x14ac:dyDescent="0.2">
      <c r="K310" s="573"/>
    </row>
    <row r="311" spans="11:11" s="507" customFormat="1" x14ac:dyDescent="0.2">
      <c r="K311" s="573"/>
    </row>
    <row r="312" spans="11:11" s="507" customFormat="1" x14ac:dyDescent="0.2">
      <c r="K312" s="573"/>
    </row>
    <row r="313" spans="11:11" s="507" customFormat="1" x14ac:dyDescent="0.2">
      <c r="K313" s="573"/>
    </row>
    <row r="314" spans="11:11" s="507" customFormat="1" x14ac:dyDescent="0.2">
      <c r="K314" s="573"/>
    </row>
    <row r="315" spans="11:11" s="507" customFormat="1" x14ac:dyDescent="0.2">
      <c r="K315" s="573"/>
    </row>
    <row r="316" spans="11:11" s="507" customFormat="1" x14ac:dyDescent="0.2">
      <c r="K316" s="573"/>
    </row>
    <row r="317" spans="11:11" s="507" customFormat="1" x14ac:dyDescent="0.2">
      <c r="K317" s="573"/>
    </row>
    <row r="318" spans="11:11" s="507" customFormat="1" x14ac:dyDescent="0.2">
      <c r="K318" s="573"/>
    </row>
    <row r="319" spans="11:11" s="507" customFormat="1" x14ac:dyDescent="0.2">
      <c r="K319" s="573"/>
    </row>
    <row r="320" spans="11:11" s="507" customFormat="1" x14ac:dyDescent="0.2">
      <c r="K320" s="573"/>
    </row>
    <row r="321" spans="11:11" s="507" customFormat="1" x14ac:dyDescent="0.2">
      <c r="K321" s="573"/>
    </row>
    <row r="322" spans="11:11" s="507" customFormat="1" x14ac:dyDescent="0.2">
      <c r="K322" s="573"/>
    </row>
    <row r="323" spans="11:11" s="507" customFormat="1" x14ac:dyDescent="0.2">
      <c r="K323" s="573"/>
    </row>
    <row r="324" spans="11:11" s="507" customFormat="1" x14ac:dyDescent="0.2">
      <c r="K324" s="573"/>
    </row>
    <row r="325" spans="11:11" s="507" customFormat="1" x14ac:dyDescent="0.2">
      <c r="K325" s="573"/>
    </row>
    <row r="326" spans="11:11" s="507" customFormat="1" x14ac:dyDescent="0.2">
      <c r="K326" s="573"/>
    </row>
    <row r="327" spans="11:11" s="507" customFormat="1" x14ac:dyDescent="0.2">
      <c r="K327" s="573"/>
    </row>
    <row r="328" spans="11:11" s="507" customFormat="1" x14ac:dyDescent="0.2">
      <c r="K328" s="573"/>
    </row>
    <row r="329" spans="11:11" s="507" customFormat="1" x14ac:dyDescent="0.2">
      <c r="K329" s="573"/>
    </row>
    <row r="330" spans="11:11" s="507" customFormat="1" x14ac:dyDescent="0.2">
      <c r="K330" s="573"/>
    </row>
    <row r="331" spans="11:11" s="507" customFormat="1" x14ac:dyDescent="0.2">
      <c r="K331" s="573"/>
    </row>
    <row r="332" spans="11:11" s="507" customFormat="1" x14ac:dyDescent="0.2">
      <c r="K332" s="573"/>
    </row>
    <row r="333" spans="11:11" s="507" customFormat="1" x14ac:dyDescent="0.2">
      <c r="K333" s="573"/>
    </row>
    <row r="334" spans="11:11" s="507" customFormat="1" x14ac:dyDescent="0.2">
      <c r="K334" s="573"/>
    </row>
    <row r="335" spans="11:11" s="507" customFormat="1" x14ac:dyDescent="0.2">
      <c r="K335" s="573"/>
    </row>
    <row r="336" spans="11:11" s="507" customFormat="1" x14ac:dyDescent="0.2">
      <c r="K336" s="573"/>
    </row>
    <row r="337" spans="11:11" s="507" customFormat="1" x14ac:dyDescent="0.2">
      <c r="K337" s="573"/>
    </row>
    <row r="338" spans="11:11" s="507" customFormat="1" x14ac:dyDescent="0.2">
      <c r="K338" s="573"/>
    </row>
    <row r="339" spans="11:11" s="507" customFormat="1" x14ac:dyDescent="0.2">
      <c r="K339" s="573"/>
    </row>
    <row r="340" spans="11:11" s="507" customFormat="1" x14ac:dyDescent="0.2">
      <c r="K340" s="573"/>
    </row>
    <row r="341" spans="11:11" s="507" customFormat="1" x14ac:dyDescent="0.2">
      <c r="K341" s="573"/>
    </row>
    <row r="342" spans="11:11" s="507" customFormat="1" x14ac:dyDescent="0.2">
      <c r="K342" s="573"/>
    </row>
    <row r="343" spans="11:11" s="507" customFormat="1" x14ac:dyDescent="0.2">
      <c r="K343" s="573"/>
    </row>
    <row r="344" spans="11:11" s="507" customFormat="1" x14ac:dyDescent="0.2">
      <c r="K344" s="573"/>
    </row>
    <row r="345" spans="11:11" s="507" customFormat="1" x14ac:dyDescent="0.2">
      <c r="K345" s="573"/>
    </row>
    <row r="346" spans="11:11" s="507" customFormat="1" x14ac:dyDescent="0.2">
      <c r="K346" s="573"/>
    </row>
    <row r="347" spans="11:11" s="507" customFormat="1" x14ac:dyDescent="0.2">
      <c r="K347" s="573"/>
    </row>
    <row r="348" spans="11:11" s="507" customFormat="1" x14ac:dyDescent="0.2">
      <c r="K348" s="573"/>
    </row>
    <row r="349" spans="11:11" s="507" customFormat="1" x14ac:dyDescent="0.2">
      <c r="K349" s="573"/>
    </row>
    <row r="350" spans="11:11" s="507" customFormat="1" x14ac:dyDescent="0.2">
      <c r="K350" s="573"/>
    </row>
    <row r="351" spans="11:11" s="507" customFormat="1" x14ac:dyDescent="0.2">
      <c r="K351" s="573"/>
    </row>
    <row r="352" spans="11:11" s="507" customFormat="1" x14ac:dyDescent="0.2">
      <c r="K352" s="573"/>
    </row>
    <row r="353" spans="11:11" s="507" customFormat="1" x14ac:dyDescent="0.2">
      <c r="K353" s="573"/>
    </row>
    <row r="354" spans="11:11" s="507" customFormat="1" x14ac:dyDescent="0.2">
      <c r="K354" s="573"/>
    </row>
    <row r="355" spans="11:11" s="507" customFormat="1" x14ac:dyDescent="0.2">
      <c r="K355" s="573"/>
    </row>
    <row r="356" spans="11:11" s="507" customFormat="1" x14ac:dyDescent="0.2">
      <c r="K356" s="573"/>
    </row>
    <row r="357" spans="11:11" s="507" customFormat="1" x14ac:dyDescent="0.2">
      <c r="K357" s="573"/>
    </row>
    <row r="358" spans="11:11" s="507" customFormat="1" x14ac:dyDescent="0.2">
      <c r="K358" s="573"/>
    </row>
    <row r="359" spans="11:11" s="507" customFormat="1" x14ac:dyDescent="0.2">
      <c r="K359" s="573"/>
    </row>
    <row r="360" spans="11:11" s="507" customFormat="1" x14ac:dyDescent="0.2">
      <c r="K360" s="573"/>
    </row>
    <row r="361" spans="11:11" s="507" customFormat="1" x14ac:dyDescent="0.2">
      <c r="K361" s="573"/>
    </row>
    <row r="362" spans="11:11" s="507" customFormat="1" x14ac:dyDescent="0.2">
      <c r="K362" s="573"/>
    </row>
    <row r="363" spans="11:11" s="507" customFormat="1" x14ac:dyDescent="0.2">
      <c r="K363" s="573"/>
    </row>
    <row r="364" spans="11:11" s="507" customFormat="1" x14ac:dyDescent="0.2">
      <c r="K364" s="573"/>
    </row>
    <row r="365" spans="11:11" s="507" customFormat="1" x14ac:dyDescent="0.2">
      <c r="K365" s="573"/>
    </row>
    <row r="366" spans="11:11" s="507" customFormat="1" x14ac:dyDescent="0.2">
      <c r="K366" s="573"/>
    </row>
    <row r="367" spans="11:11" s="507" customFormat="1" x14ac:dyDescent="0.2">
      <c r="K367" s="573"/>
    </row>
    <row r="368" spans="11:11" s="507" customFormat="1" x14ac:dyDescent="0.2">
      <c r="K368" s="573"/>
    </row>
    <row r="369" spans="11:11" s="507" customFormat="1" x14ac:dyDescent="0.2">
      <c r="K369" s="573"/>
    </row>
    <row r="370" spans="11:11" s="507" customFormat="1" x14ac:dyDescent="0.2">
      <c r="K370" s="573"/>
    </row>
    <row r="371" spans="11:11" s="507" customFormat="1" x14ac:dyDescent="0.2">
      <c r="K371" s="573"/>
    </row>
    <row r="372" spans="11:11" s="507" customFormat="1" x14ac:dyDescent="0.2">
      <c r="K372" s="573"/>
    </row>
    <row r="373" spans="11:11" s="507" customFormat="1" x14ac:dyDescent="0.2">
      <c r="K373" s="573"/>
    </row>
    <row r="374" spans="11:11" s="507" customFormat="1" x14ac:dyDescent="0.2">
      <c r="K374" s="573"/>
    </row>
    <row r="375" spans="11:11" s="507" customFormat="1" x14ac:dyDescent="0.2">
      <c r="K375" s="573"/>
    </row>
    <row r="376" spans="11:11" s="507" customFormat="1" x14ac:dyDescent="0.2">
      <c r="K376" s="573"/>
    </row>
    <row r="377" spans="11:11" s="507" customFormat="1" x14ac:dyDescent="0.2">
      <c r="K377" s="573"/>
    </row>
    <row r="378" spans="11:11" s="507" customFormat="1" x14ac:dyDescent="0.2">
      <c r="K378" s="573"/>
    </row>
    <row r="379" spans="11:11" s="507" customFormat="1" x14ac:dyDescent="0.2">
      <c r="K379" s="573"/>
    </row>
    <row r="380" spans="11:11" s="507" customFormat="1" x14ac:dyDescent="0.2">
      <c r="K380" s="573"/>
    </row>
    <row r="381" spans="11:11" s="507" customFormat="1" x14ac:dyDescent="0.2">
      <c r="K381" s="573"/>
    </row>
    <row r="382" spans="11:11" s="507" customFormat="1" x14ac:dyDescent="0.2">
      <c r="K382" s="573"/>
    </row>
    <row r="383" spans="11:11" s="507" customFormat="1" x14ac:dyDescent="0.2">
      <c r="K383" s="573"/>
    </row>
    <row r="384" spans="11:11" s="507" customFormat="1" x14ac:dyDescent="0.2">
      <c r="K384" s="573"/>
    </row>
    <row r="385" spans="11:11" s="507" customFormat="1" x14ac:dyDescent="0.2">
      <c r="K385" s="573"/>
    </row>
    <row r="386" spans="11:11" s="507" customFormat="1" x14ac:dyDescent="0.2">
      <c r="K386" s="573"/>
    </row>
    <row r="387" spans="11:11" s="507" customFormat="1" x14ac:dyDescent="0.2">
      <c r="K387" s="573"/>
    </row>
    <row r="388" spans="11:11" s="507" customFormat="1" x14ac:dyDescent="0.2">
      <c r="K388" s="573"/>
    </row>
    <row r="389" spans="11:11" s="507" customFormat="1" x14ac:dyDescent="0.2">
      <c r="K389" s="573"/>
    </row>
    <row r="390" spans="11:11" s="507" customFormat="1" x14ac:dyDescent="0.2">
      <c r="K390" s="573"/>
    </row>
    <row r="391" spans="11:11" s="507" customFormat="1" x14ac:dyDescent="0.2">
      <c r="K391" s="573"/>
    </row>
    <row r="392" spans="11:11" s="507" customFormat="1" x14ac:dyDescent="0.2">
      <c r="K392" s="573"/>
    </row>
    <row r="393" spans="11:11" s="507" customFormat="1" x14ac:dyDescent="0.2">
      <c r="K393" s="573"/>
    </row>
    <row r="394" spans="11:11" s="507" customFormat="1" x14ac:dyDescent="0.2">
      <c r="K394" s="573"/>
    </row>
    <row r="395" spans="11:11" s="507" customFormat="1" x14ac:dyDescent="0.2">
      <c r="K395" s="573"/>
    </row>
    <row r="396" spans="11:11" s="507" customFormat="1" x14ac:dyDescent="0.2">
      <c r="K396" s="573"/>
    </row>
    <row r="397" spans="11:11" s="507" customFormat="1" x14ac:dyDescent="0.2">
      <c r="K397" s="573"/>
    </row>
    <row r="398" spans="11:11" s="507" customFormat="1" x14ac:dyDescent="0.2">
      <c r="K398" s="573"/>
    </row>
    <row r="399" spans="11:11" s="507" customFormat="1" x14ac:dyDescent="0.2">
      <c r="K399" s="573"/>
    </row>
    <row r="400" spans="11:11" s="507" customFormat="1" x14ac:dyDescent="0.2">
      <c r="K400" s="573"/>
    </row>
    <row r="401" spans="11:11" s="507" customFormat="1" x14ac:dyDescent="0.2">
      <c r="K401" s="573"/>
    </row>
    <row r="402" spans="11:11" s="507" customFormat="1" x14ac:dyDescent="0.2">
      <c r="K402" s="573"/>
    </row>
    <row r="403" spans="11:11" s="507" customFormat="1" x14ac:dyDescent="0.2">
      <c r="K403" s="573"/>
    </row>
    <row r="404" spans="11:11" s="507" customFormat="1" x14ac:dyDescent="0.2">
      <c r="K404" s="573"/>
    </row>
    <row r="405" spans="11:11" s="507" customFormat="1" x14ac:dyDescent="0.2">
      <c r="K405" s="573"/>
    </row>
    <row r="406" spans="11:11" s="507" customFormat="1" x14ac:dyDescent="0.2">
      <c r="K406" s="573"/>
    </row>
    <row r="407" spans="11:11" s="507" customFormat="1" x14ac:dyDescent="0.2">
      <c r="K407" s="573"/>
    </row>
    <row r="408" spans="11:11" s="507" customFormat="1" x14ac:dyDescent="0.2">
      <c r="K408" s="573"/>
    </row>
    <row r="409" spans="11:11" s="507" customFormat="1" x14ac:dyDescent="0.2">
      <c r="K409" s="573"/>
    </row>
    <row r="410" spans="11:11" s="507" customFormat="1" x14ac:dyDescent="0.2">
      <c r="K410" s="573"/>
    </row>
    <row r="411" spans="11:11" s="507" customFormat="1" x14ac:dyDescent="0.2">
      <c r="K411" s="573"/>
    </row>
    <row r="412" spans="11:11" s="507" customFormat="1" x14ac:dyDescent="0.2">
      <c r="K412" s="573"/>
    </row>
    <row r="413" spans="11:11" s="507" customFormat="1" x14ac:dyDescent="0.2">
      <c r="K413" s="573"/>
    </row>
    <row r="414" spans="11:11" s="507" customFormat="1" x14ac:dyDescent="0.2">
      <c r="K414" s="573"/>
    </row>
    <row r="415" spans="11:11" s="507" customFormat="1" x14ac:dyDescent="0.2">
      <c r="K415" s="573"/>
    </row>
    <row r="416" spans="11:11" s="507" customFormat="1" x14ac:dyDescent="0.2">
      <c r="K416" s="573"/>
    </row>
    <row r="417" spans="11:11" s="507" customFormat="1" x14ac:dyDescent="0.2">
      <c r="K417" s="573"/>
    </row>
    <row r="418" spans="11:11" s="507" customFormat="1" x14ac:dyDescent="0.2">
      <c r="K418" s="573"/>
    </row>
    <row r="419" spans="11:11" s="507" customFormat="1" x14ac:dyDescent="0.2">
      <c r="K419" s="573"/>
    </row>
    <row r="420" spans="11:11" s="507" customFormat="1" x14ac:dyDescent="0.2">
      <c r="K420" s="573"/>
    </row>
    <row r="421" spans="11:11" s="507" customFormat="1" x14ac:dyDescent="0.2">
      <c r="K421" s="573"/>
    </row>
    <row r="422" spans="11:11" s="507" customFormat="1" x14ac:dyDescent="0.2">
      <c r="K422" s="573"/>
    </row>
    <row r="423" spans="11:11" s="507" customFormat="1" x14ac:dyDescent="0.2">
      <c r="K423" s="573"/>
    </row>
    <row r="424" spans="11:11" s="507" customFormat="1" x14ac:dyDescent="0.2">
      <c r="K424" s="573"/>
    </row>
    <row r="425" spans="11:11" s="507" customFormat="1" x14ac:dyDescent="0.2">
      <c r="K425" s="573"/>
    </row>
    <row r="426" spans="11:11" s="507" customFormat="1" x14ac:dyDescent="0.2">
      <c r="K426" s="573"/>
    </row>
    <row r="427" spans="11:11" s="507" customFormat="1" x14ac:dyDescent="0.2">
      <c r="K427" s="573"/>
    </row>
    <row r="428" spans="11:11" s="507" customFormat="1" x14ac:dyDescent="0.2">
      <c r="K428" s="573"/>
    </row>
    <row r="429" spans="11:11" s="507" customFormat="1" x14ac:dyDescent="0.2">
      <c r="K429" s="573"/>
    </row>
    <row r="430" spans="11:11" s="507" customFormat="1" x14ac:dyDescent="0.2">
      <c r="K430" s="573"/>
    </row>
    <row r="431" spans="11:11" s="507" customFormat="1" x14ac:dyDescent="0.2">
      <c r="K431" s="573"/>
    </row>
    <row r="432" spans="11:11" s="507" customFormat="1" x14ac:dyDescent="0.2">
      <c r="K432" s="573"/>
    </row>
    <row r="433" spans="11:11" s="507" customFormat="1" x14ac:dyDescent="0.2">
      <c r="K433" s="573"/>
    </row>
    <row r="434" spans="11:11" s="507" customFormat="1" x14ac:dyDescent="0.2">
      <c r="K434" s="573"/>
    </row>
    <row r="435" spans="11:11" s="507" customFormat="1" x14ac:dyDescent="0.2">
      <c r="K435" s="573"/>
    </row>
    <row r="436" spans="11:11" s="507" customFormat="1" x14ac:dyDescent="0.2">
      <c r="K436" s="573"/>
    </row>
    <row r="437" spans="11:11" s="507" customFormat="1" x14ac:dyDescent="0.2">
      <c r="K437" s="573"/>
    </row>
    <row r="438" spans="11:11" s="507" customFormat="1" x14ac:dyDescent="0.2">
      <c r="K438" s="573"/>
    </row>
    <row r="439" spans="11:11" s="507" customFormat="1" x14ac:dyDescent="0.2">
      <c r="K439" s="573"/>
    </row>
    <row r="440" spans="11:11" s="507" customFormat="1" x14ac:dyDescent="0.2">
      <c r="K440" s="573"/>
    </row>
    <row r="441" spans="11:11" s="507" customFormat="1" x14ac:dyDescent="0.2">
      <c r="K441" s="573"/>
    </row>
    <row r="442" spans="11:11" s="507" customFormat="1" x14ac:dyDescent="0.2">
      <c r="K442" s="573"/>
    </row>
    <row r="443" spans="11:11" s="507" customFormat="1" x14ac:dyDescent="0.2">
      <c r="K443" s="573"/>
    </row>
    <row r="444" spans="11:11" s="507" customFormat="1" x14ac:dyDescent="0.2">
      <c r="K444" s="573"/>
    </row>
    <row r="445" spans="11:11" s="507" customFormat="1" x14ac:dyDescent="0.2">
      <c r="K445" s="573"/>
    </row>
    <row r="446" spans="11:11" s="507" customFormat="1" x14ac:dyDescent="0.2">
      <c r="K446" s="573"/>
    </row>
    <row r="447" spans="11:11" s="507" customFormat="1" x14ac:dyDescent="0.2">
      <c r="K447" s="573"/>
    </row>
    <row r="448" spans="11:11" s="507" customFormat="1" x14ac:dyDescent="0.2">
      <c r="K448" s="573"/>
    </row>
    <row r="449" spans="11:11" s="507" customFormat="1" x14ac:dyDescent="0.2">
      <c r="K449" s="573"/>
    </row>
    <row r="450" spans="11:11" s="507" customFormat="1" x14ac:dyDescent="0.2">
      <c r="K450" s="573"/>
    </row>
    <row r="451" spans="11:11" s="507" customFormat="1" x14ac:dyDescent="0.2">
      <c r="K451" s="573"/>
    </row>
    <row r="452" spans="11:11" s="507" customFormat="1" x14ac:dyDescent="0.2">
      <c r="K452" s="573"/>
    </row>
    <row r="453" spans="11:11" s="507" customFormat="1" x14ac:dyDescent="0.2">
      <c r="K453" s="573"/>
    </row>
    <row r="454" spans="11:11" s="507" customFormat="1" x14ac:dyDescent="0.2">
      <c r="K454" s="573"/>
    </row>
    <row r="455" spans="11:11" s="507" customFormat="1" x14ac:dyDescent="0.2">
      <c r="K455" s="573"/>
    </row>
    <row r="456" spans="11:11" s="507" customFormat="1" x14ac:dyDescent="0.2">
      <c r="K456" s="573"/>
    </row>
    <row r="457" spans="11:11" s="507" customFormat="1" x14ac:dyDescent="0.2">
      <c r="K457" s="573"/>
    </row>
    <row r="458" spans="11:11" s="507" customFormat="1" x14ac:dyDescent="0.2">
      <c r="K458" s="573"/>
    </row>
    <row r="459" spans="11:11" s="507" customFormat="1" x14ac:dyDescent="0.2">
      <c r="K459" s="573"/>
    </row>
    <row r="460" spans="11:11" s="507" customFormat="1" x14ac:dyDescent="0.2">
      <c r="K460" s="573"/>
    </row>
    <row r="461" spans="11:11" s="507" customFormat="1" x14ac:dyDescent="0.2">
      <c r="K461" s="573"/>
    </row>
    <row r="462" spans="11:11" s="507" customFormat="1" x14ac:dyDescent="0.2">
      <c r="K462" s="573"/>
    </row>
    <row r="463" spans="11:11" s="507" customFormat="1" x14ac:dyDescent="0.2">
      <c r="K463" s="573"/>
    </row>
    <row r="464" spans="11:11" s="507" customFormat="1" x14ac:dyDescent="0.2">
      <c r="K464" s="573"/>
    </row>
    <row r="465" spans="11:11" s="507" customFormat="1" x14ac:dyDescent="0.2">
      <c r="K465" s="573"/>
    </row>
    <row r="466" spans="11:11" s="507" customFormat="1" x14ac:dyDescent="0.2">
      <c r="K466" s="573"/>
    </row>
    <row r="467" spans="11:11" s="507" customFormat="1" x14ac:dyDescent="0.2">
      <c r="K467" s="573"/>
    </row>
    <row r="468" spans="11:11" s="507" customFormat="1" x14ac:dyDescent="0.2">
      <c r="K468" s="573"/>
    </row>
    <row r="469" spans="11:11" s="507" customFormat="1" x14ac:dyDescent="0.2">
      <c r="K469" s="573"/>
    </row>
    <row r="470" spans="11:11" s="507" customFormat="1" x14ac:dyDescent="0.2">
      <c r="K470" s="573"/>
    </row>
    <row r="471" spans="11:11" s="507" customFormat="1" x14ac:dyDescent="0.2">
      <c r="K471" s="573"/>
    </row>
    <row r="472" spans="11:11" s="507" customFormat="1" x14ac:dyDescent="0.2">
      <c r="K472" s="573"/>
    </row>
    <row r="473" spans="11:11" s="507" customFormat="1" x14ac:dyDescent="0.2">
      <c r="K473" s="573"/>
    </row>
    <row r="474" spans="11:11" s="507" customFormat="1" x14ac:dyDescent="0.2">
      <c r="K474" s="573"/>
    </row>
    <row r="475" spans="11:11" s="507" customFormat="1" x14ac:dyDescent="0.2">
      <c r="K475" s="573"/>
    </row>
    <row r="476" spans="11:11" s="507" customFormat="1" x14ac:dyDescent="0.2">
      <c r="K476" s="573"/>
    </row>
    <row r="477" spans="11:11" s="507" customFormat="1" x14ac:dyDescent="0.2">
      <c r="K477" s="573"/>
    </row>
    <row r="478" spans="11:11" s="507" customFormat="1" x14ac:dyDescent="0.2">
      <c r="K478" s="573"/>
    </row>
    <row r="479" spans="11:11" s="507" customFormat="1" x14ac:dyDescent="0.2">
      <c r="K479" s="573"/>
    </row>
    <row r="480" spans="11:11" s="507" customFormat="1" x14ac:dyDescent="0.2">
      <c r="K480" s="573"/>
    </row>
    <row r="481" spans="11:11" s="507" customFormat="1" x14ac:dyDescent="0.2">
      <c r="K481" s="573"/>
    </row>
    <row r="482" spans="11:11" s="507" customFormat="1" x14ac:dyDescent="0.2">
      <c r="K482" s="573"/>
    </row>
    <row r="483" spans="11:11" s="507" customFormat="1" x14ac:dyDescent="0.2">
      <c r="K483" s="573"/>
    </row>
    <row r="484" spans="11:11" s="507" customFormat="1" x14ac:dyDescent="0.2">
      <c r="K484" s="573"/>
    </row>
    <row r="485" spans="11:11" s="507" customFormat="1" x14ac:dyDescent="0.2">
      <c r="K485" s="573"/>
    </row>
    <row r="486" spans="11:11" s="507" customFormat="1" x14ac:dyDescent="0.2">
      <c r="K486" s="573"/>
    </row>
    <row r="487" spans="11:11" s="507" customFormat="1" x14ac:dyDescent="0.2">
      <c r="K487" s="573"/>
    </row>
  </sheetData>
  <sheetProtection password="E421" sheet="1" objects="1" scenarios="1"/>
  <mergeCells count="136">
    <mergeCell ref="A210:L211"/>
    <mergeCell ref="A212:L212"/>
    <mergeCell ref="A213:L214"/>
    <mergeCell ref="D133:E133"/>
    <mergeCell ref="N15:N22"/>
    <mergeCell ref="G29:I33"/>
    <mergeCell ref="G39:I43"/>
    <mergeCell ref="B37:C37"/>
    <mergeCell ref="D37:M37"/>
    <mergeCell ref="B47:C47"/>
    <mergeCell ref="D47:M47"/>
    <mergeCell ref="B57:C57"/>
    <mergeCell ref="D57:M57"/>
    <mergeCell ref="B67:C67"/>
    <mergeCell ref="D67:M67"/>
    <mergeCell ref="G49:I53"/>
    <mergeCell ref="G59:I63"/>
    <mergeCell ref="B64:C64"/>
    <mergeCell ref="D49:F53"/>
    <mergeCell ref="D64:M64"/>
    <mergeCell ref="N75:N93"/>
    <mergeCell ref="B92:C92"/>
    <mergeCell ref="B87:C87"/>
    <mergeCell ref="D87:M87"/>
    <mergeCell ref="A207:L208"/>
    <mergeCell ref="A209:L209"/>
    <mergeCell ref="B1:E1"/>
    <mergeCell ref="F1:M1"/>
    <mergeCell ref="B76:C76"/>
    <mergeCell ref="D76:M76"/>
    <mergeCell ref="B20:C20"/>
    <mergeCell ref="B21:C21"/>
    <mergeCell ref="B54:C54"/>
    <mergeCell ref="D54:M54"/>
    <mergeCell ref="D58:F58"/>
    <mergeCell ref="G58:I58"/>
    <mergeCell ref="D68:F68"/>
    <mergeCell ref="G68:I68"/>
    <mergeCell ref="B3:M3"/>
    <mergeCell ref="B4:M4"/>
    <mergeCell ref="H15:I15"/>
    <mergeCell ref="J15:K15"/>
    <mergeCell ref="L15:M15"/>
    <mergeCell ref="B45:M45"/>
    <mergeCell ref="B75:M75"/>
    <mergeCell ref="F15:G15"/>
    <mergeCell ref="B27:M27"/>
    <mergeCell ref="B35:M35"/>
    <mergeCell ref="G118:M119"/>
    <mergeCell ref="D92:M92"/>
    <mergeCell ref="B86:C86"/>
    <mergeCell ref="D90:M90"/>
    <mergeCell ref="B89:C89"/>
    <mergeCell ref="D56:M56"/>
    <mergeCell ref="B65:M65"/>
    <mergeCell ref="D59:F63"/>
    <mergeCell ref="B74:C74"/>
    <mergeCell ref="D74:M74"/>
    <mergeCell ref="B78:M78"/>
    <mergeCell ref="B83:M83"/>
    <mergeCell ref="B88:M88"/>
    <mergeCell ref="B80:C80"/>
    <mergeCell ref="B82:C82"/>
    <mergeCell ref="D82:M82"/>
    <mergeCell ref="B85:C85"/>
    <mergeCell ref="D85:M85"/>
    <mergeCell ref="D86:M86"/>
    <mergeCell ref="B91:C91"/>
    <mergeCell ref="D91:M91"/>
    <mergeCell ref="B79:C79"/>
    <mergeCell ref="D79:M79"/>
    <mergeCell ref="B84:C84"/>
    <mergeCell ref="D132:E132"/>
    <mergeCell ref="D121:E121"/>
    <mergeCell ref="D122:E122"/>
    <mergeCell ref="D129:E129"/>
    <mergeCell ref="D123:E123"/>
    <mergeCell ref="D124:E124"/>
    <mergeCell ref="D125:E125"/>
    <mergeCell ref="D126:E126"/>
    <mergeCell ref="D127:E127"/>
    <mergeCell ref="D128:E128"/>
    <mergeCell ref="D130:E130"/>
    <mergeCell ref="D131:E131"/>
    <mergeCell ref="B8:M8"/>
    <mergeCell ref="B14:M14"/>
    <mergeCell ref="C9:M9"/>
    <mergeCell ref="C10:M10"/>
    <mergeCell ref="B15:C16"/>
    <mergeCell ref="D44:M44"/>
    <mergeCell ref="B36:C36"/>
    <mergeCell ref="D36:M36"/>
    <mergeCell ref="C11:M11"/>
    <mergeCell ref="D38:F38"/>
    <mergeCell ref="G38:I38"/>
    <mergeCell ref="B19:C19"/>
    <mergeCell ref="B25:C25"/>
    <mergeCell ref="B22:C22"/>
    <mergeCell ref="B23:C23"/>
    <mergeCell ref="B24:C24"/>
    <mergeCell ref="B17:C17"/>
    <mergeCell ref="B18:C18"/>
    <mergeCell ref="D15:E15"/>
    <mergeCell ref="D134:E134"/>
    <mergeCell ref="D13:F13"/>
    <mergeCell ref="G28:I28"/>
    <mergeCell ref="D29:F33"/>
    <mergeCell ref="D39:F43"/>
    <mergeCell ref="B44:C44"/>
    <mergeCell ref="B34:C34"/>
    <mergeCell ref="D34:M34"/>
    <mergeCell ref="B66:C66"/>
    <mergeCell ref="D66:M66"/>
    <mergeCell ref="D46:M46"/>
    <mergeCell ref="B46:C46"/>
    <mergeCell ref="G69:I73"/>
    <mergeCell ref="D48:F48"/>
    <mergeCell ref="G48:I48"/>
    <mergeCell ref="B81:C81"/>
    <mergeCell ref="B77:C77"/>
    <mergeCell ref="D77:M77"/>
    <mergeCell ref="D69:F73"/>
    <mergeCell ref="D84:M84"/>
    <mergeCell ref="D80:M80"/>
    <mergeCell ref="D81:M81"/>
    <mergeCell ref="B90:C90"/>
    <mergeCell ref="D89:M89"/>
    <mergeCell ref="B55:M55"/>
    <mergeCell ref="B56:C56"/>
    <mergeCell ref="B93:C93"/>
    <mergeCell ref="D93:M93"/>
    <mergeCell ref="G13:I13"/>
    <mergeCell ref="J13:M13"/>
    <mergeCell ref="C12:M12"/>
    <mergeCell ref="D28:F28"/>
    <mergeCell ref="N11:N12"/>
  </mergeCells>
  <conditionalFormatting sqref="F1:M1">
    <cfRule type="containsText" dxfId="329" priority="84" operator="containsText" text="0">
      <formula>NOT(ISERROR(SEARCH("0",F1)))</formula>
    </cfRule>
  </conditionalFormatting>
  <conditionalFormatting sqref="C9:M10">
    <cfRule type="cellIs" dxfId="328" priority="83" operator="lessThanOrEqual">
      <formula>0</formula>
    </cfRule>
  </conditionalFormatting>
  <conditionalFormatting sqref="D79:M80 D84:M85 D90:M91 D29:D34 E29:F33 D54">
    <cfRule type="containsErrors" dxfId="327" priority="82">
      <formula>ISERROR(D29)</formula>
    </cfRule>
  </conditionalFormatting>
  <conditionalFormatting sqref="N43 N33:N34 N53 N63 N73">
    <cfRule type="containsErrors" dxfId="326" priority="53">
      <formula>ISERROR(N33)</formula>
    </cfRule>
  </conditionalFormatting>
  <conditionalFormatting sqref="D79:M79">
    <cfRule type="cellIs" dxfId="325" priority="45" operator="equal">
      <formula>0</formula>
    </cfRule>
  </conditionalFormatting>
  <conditionalFormatting sqref="D74:M74 D64:M64 D54:M54 D44:M44 D34:M34">
    <cfRule type="cellIs" dxfId="324" priority="43" stopIfTrue="1" operator="lessThanOrEqual">
      <formula>0</formula>
    </cfRule>
  </conditionalFormatting>
  <conditionalFormatting sqref="E77:M77 D76:D77">
    <cfRule type="cellIs" dxfId="323" priority="32" operator="lessThanOrEqual">
      <formula>0</formula>
    </cfRule>
  </conditionalFormatting>
  <conditionalFormatting sqref="D81:M81">
    <cfRule type="cellIs" dxfId="322" priority="31" operator="lessThanOrEqual">
      <formula>0</formula>
    </cfRule>
  </conditionalFormatting>
  <conditionalFormatting sqref="D86:M86">
    <cfRule type="cellIs" dxfId="321" priority="30" operator="lessThanOrEqual">
      <formula>0</formula>
    </cfRule>
  </conditionalFormatting>
  <conditionalFormatting sqref="D92:M92">
    <cfRule type="cellIs" dxfId="320" priority="29" operator="lessThanOrEqual">
      <formula>0</formula>
    </cfRule>
  </conditionalFormatting>
  <conditionalFormatting sqref="C11:M12 D13 J13">
    <cfRule type="containsErrors" dxfId="319" priority="28">
      <formula>ISERROR(C11)</formula>
    </cfRule>
  </conditionalFormatting>
  <conditionalFormatting sqref="C12:M12 D13 J13">
    <cfRule type="cellIs" dxfId="318" priority="27" stopIfTrue="1" operator="lessThanOrEqual">
      <formula>0</formula>
    </cfRule>
  </conditionalFormatting>
  <conditionalFormatting sqref="B143:C152">
    <cfRule type="containsErrors" dxfId="317" priority="26">
      <formula>ISERROR(B143)</formula>
    </cfRule>
  </conditionalFormatting>
  <conditionalFormatting sqref="B153:C156">
    <cfRule type="containsErrors" dxfId="316" priority="25">
      <formula>ISERROR(B153)</formula>
    </cfRule>
  </conditionalFormatting>
  <conditionalFormatting sqref="B157:C160">
    <cfRule type="containsErrors" dxfId="315" priority="24">
      <formula>ISERROR(B157)</formula>
    </cfRule>
  </conditionalFormatting>
  <conditionalFormatting sqref="B161:C164">
    <cfRule type="containsErrors" dxfId="314" priority="23">
      <formula>ISERROR(B161)</formula>
    </cfRule>
  </conditionalFormatting>
  <conditionalFormatting sqref="B165:C168">
    <cfRule type="containsErrors" dxfId="313" priority="22">
      <formula>ISERROR(B165)</formula>
    </cfRule>
  </conditionalFormatting>
  <conditionalFormatting sqref="D29:F33">
    <cfRule type="cellIs" dxfId="312" priority="17" operator="lessThanOrEqual">
      <formula>0</formula>
    </cfRule>
  </conditionalFormatting>
  <conditionalFormatting sqref="D39:F43">
    <cfRule type="containsErrors" dxfId="311" priority="8">
      <formula>ISERROR(D39)</formula>
    </cfRule>
  </conditionalFormatting>
  <conditionalFormatting sqref="D39:F43">
    <cfRule type="cellIs" dxfId="310" priority="7" operator="lessThanOrEqual">
      <formula>0</formula>
    </cfRule>
  </conditionalFormatting>
  <conditionalFormatting sqref="D49:F53">
    <cfRule type="containsErrors" dxfId="309" priority="6">
      <formula>ISERROR(D49)</formula>
    </cfRule>
  </conditionalFormatting>
  <conditionalFormatting sqref="D49:F53">
    <cfRule type="cellIs" dxfId="308" priority="5" operator="lessThanOrEqual">
      <formula>0</formula>
    </cfRule>
  </conditionalFormatting>
  <conditionalFormatting sqref="D59:F63">
    <cfRule type="containsErrors" dxfId="307" priority="4">
      <formula>ISERROR(D59)</formula>
    </cfRule>
  </conditionalFormatting>
  <conditionalFormatting sqref="D59:F63">
    <cfRule type="cellIs" dxfId="306" priority="3" operator="lessThanOrEqual">
      <formula>0</formula>
    </cfRule>
  </conditionalFormatting>
  <conditionalFormatting sqref="D69:F73">
    <cfRule type="containsErrors" dxfId="305" priority="2">
      <formula>ISERROR(D69)</formula>
    </cfRule>
  </conditionalFormatting>
  <conditionalFormatting sqref="D69:F73">
    <cfRule type="cellIs" dxfId="304" priority="1" operator="lessThanOrEqual">
      <formula>0</formula>
    </cfRule>
  </conditionalFormatting>
  <dataValidations count="2">
    <dataValidation type="list" allowBlank="1" showInputMessage="1" showErrorMessage="1" sqref="C29:C33 C69:C73 C59:C63 C49:C53 C39:C43" xr:uid="{00000000-0002-0000-0E00-000000000000}">
      <formula1>$B$122:$B$134</formula1>
    </dataValidation>
    <dataValidation type="list" allowBlank="1" showInputMessage="1" showErrorMessage="1" sqref="C13" xr:uid="{00000000-0002-0000-0E00-000001000000}">
      <formula1>Cistern</formula1>
    </dataValidation>
  </dataValidations>
  <hyperlinks>
    <hyperlink ref="A210:J211" location="'SITE SUMMARY'!A1" display="CONTINUE TO SITE SUMMARY" xr:uid="{00000000-0004-0000-0E00-000000000000}"/>
    <hyperlink ref="A213:J214" location="'SITE SUMMARY'!A1" display="CONTINUE TO SITE SUMMARY" xr:uid="{00000000-0004-0000-0E00-000001000000}"/>
    <hyperlink ref="A210:L211" location="'BMP SUMMARY'!A1" display="CONTINUE TO BMP SUMMARY" xr:uid="{00000000-0004-0000-0E00-000002000000}"/>
    <hyperlink ref="A207:J208" location="'DA2'!A1" display="CLICK TO ADD ANOTHER DRAINAGE AREA" xr:uid="{00000000-0004-0000-0E00-000003000000}"/>
    <hyperlink ref="A207:L208" location="DA2_BMPs!A1" display="CLICK TO ADD BMPS TO ANOTHER DRAINAGE AREA" xr:uid="{00000000-0004-0000-0E00-000004000000}"/>
  </hyperlinks>
  <printOptions horizontalCentered="1"/>
  <pageMargins left="0.7" right="0.7" top="0.75" bottom="0.75" header="0.3" footer="0.3"/>
  <pageSetup scale="42" fitToHeight="2" orientation="portrait" r:id="rId1"/>
  <headerFooter>
    <oddFooter>&amp;A&amp;RPage &amp;P</oddFooter>
  </headerFooter>
  <rowBreaks count="1" manualBreakCount="1">
    <brk id="54" min="1" max="12" man="1"/>
  </rowBreaks>
  <ignoredErrors>
    <ignoredError sqref="D80 D85 D91 C11:C12" evalError="1"/>
  </ignoredError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030A0"/>
  </sheetPr>
  <dimension ref="A1:AA487"/>
  <sheetViews>
    <sheetView showRowColHeaders="0" topLeftCell="A68" zoomScale="70" zoomScaleNormal="70" zoomScalePageLayoutView="55" workbookViewId="0">
      <selection activeCell="D17" sqref="D17"/>
    </sheetView>
  </sheetViews>
  <sheetFormatPr defaultRowHeight="15" x14ac:dyDescent="0.2"/>
  <cols>
    <col min="1" max="1" width="3.77734375" style="507" customWidth="1"/>
    <col min="2" max="2" width="39" style="161" customWidth="1"/>
    <col min="3" max="3" width="42.5546875" style="161" bestFit="1" customWidth="1"/>
    <col min="4" max="10" width="9.77734375" style="161" customWidth="1"/>
    <col min="11" max="11" width="9.77734375" style="398" customWidth="1"/>
    <col min="12" max="13" width="9.77734375" style="161" customWidth="1"/>
    <col min="14" max="14" width="77" style="161" customWidth="1"/>
    <col min="15" max="25" width="8.88671875" style="507"/>
    <col min="26" max="16384" width="8.88671875" style="161"/>
  </cols>
  <sheetData>
    <row r="1" spans="1:25" ht="16.5" customHeight="1" thickBot="1" x14ac:dyDescent="0.3">
      <c r="B1" s="787" t="s">
        <v>31</v>
      </c>
      <c r="C1" s="787"/>
      <c r="D1" s="787"/>
      <c r="E1" s="931"/>
      <c r="F1" s="1107">
        <f>'SITE DATA'!F9</f>
        <v>0</v>
      </c>
      <c r="G1" s="1108"/>
      <c r="H1" s="1108"/>
      <c r="I1" s="1108"/>
      <c r="J1" s="1108"/>
      <c r="K1" s="1108"/>
      <c r="L1" s="1108"/>
      <c r="M1" s="1109"/>
      <c r="N1" s="507"/>
    </row>
    <row r="2" spans="1:25" ht="16.5" customHeight="1" x14ac:dyDescent="0.2">
      <c r="B2" s="575"/>
      <c r="C2" s="575"/>
      <c r="D2" s="575"/>
      <c r="E2" s="575"/>
      <c r="F2" s="575"/>
      <c r="G2" s="575"/>
      <c r="H2" s="575"/>
      <c r="I2" s="575"/>
      <c r="J2" s="575"/>
      <c r="K2" s="237"/>
      <c r="L2" s="575"/>
      <c r="M2" s="575"/>
      <c r="N2" s="507"/>
    </row>
    <row r="3" spans="1:25" ht="16.5" customHeight="1" x14ac:dyDescent="0.25">
      <c r="B3" s="797" t="s">
        <v>401</v>
      </c>
      <c r="C3" s="797"/>
      <c r="D3" s="797"/>
      <c r="E3" s="797"/>
      <c r="F3" s="797"/>
      <c r="G3" s="797"/>
      <c r="H3" s="797"/>
      <c r="I3" s="797"/>
      <c r="J3" s="797"/>
      <c r="K3" s="797"/>
      <c r="L3" s="797"/>
      <c r="M3" s="797"/>
      <c r="N3" s="507"/>
    </row>
    <row r="4" spans="1:25" ht="16.5" customHeight="1" x14ac:dyDescent="0.25">
      <c r="B4" s="797" t="s">
        <v>359</v>
      </c>
      <c r="C4" s="797"/>
      <c r="D4" s="797"/>
      <c r="E4" s="797"/>
      <c r="F4" s="797"/>
      <c r="G4" s="797"/>
      <c r="H4" s="797"/>
      <c r="I4" s="797"/>
      <c r="J4" s="797"/>
      <c r="K4" s="797"/>
      <c r="L4" s="797"/>
      <c r="M4" s="797"/>
      <c r="N4" s="507"/>
    </row>
    <row r="5" spans="1:25" ht="16.5" customHeight="1" x14ac:dyDescent="0.2">
      <c r="B5" s="507"/>
      <c r="C5" s="507"/>
      <c r="D5" s="507"/>
      <c r="E5" s="507"/>
      <c r="F5" s="507"/>
      <c r="G5" s="507"/>
      <c r="H5" s="507"/>
      <c r="I5" s="507"/>
      <c r="J5" s="507"/>
      <c r="K5" s="573"/>
      <c r="L5" s="507"/>
      <c r="M5" s="507"/>
      <c r="N5" s="507"/>
    </row>
    <row r="6" spans="1:25" ht="16.5" customHeight="1" x14ac:dyDescent="0.2">
      <c r="B6" s="507"/>
      <c r="C6" s="507"/>
      <c r="D6" s="366"/>
      <c r="E6" s="366"/>
      <c r="F6" s="366"/>
      <c r="G6" s="305"/>
      <c r="H6" s="305"/>
      <c r="I6" s="366"/>
      <c r="J6" s="366"/>
      <c r="K6" s="367"/>
      <c r="L6" s="507"/>
      <c r="M6" s="507"/>
    </row>
    <row r="7" spans="1:25" ht="16.5" customHeight="1" thickBot="1" x14ac:dyDescent="0.25">
      <c r="B7" s="507"/>
      <c r="C7" s="507"/>
      <c r="D7" s="305"/>
      <c r="E7" s="305"/>
      <c r="F7" s="305"/>
      <c r="G7" s="305"/>
      <c r="H7" s="305"/>
      <c r="I7" s="305"/>
      <c r="J7" s="305"/>
      <c r="K7" s="160"/>
      <c r="L7" s="507"/>
      <c r="M7" s="507"/>
      <c r="N7" s="507"/>
    </row>
    <row r="8" spans="1:25" s="306" customFormat="1" ht="24.95" customHeight="1" thickTop="1" thickBot="1" x14ac:dyDescent="0.25">
      <c r="A8" s="164"/>
      <c r="B8" s="1081" t="s">
        <v>274</v>
      </c>
      <c r="C8" s="1082"/>
      <c r="D8" s="1082"/>
      <c r="E8" s="1082"/>
      <c r="F8" s="1082"/>
      <c r="G8" s="1082"/>
      <c r="H8" s="1082"/>
      <c r="I8" s="1082"/>
      <c r="J8" s="1082"/>
      <c r="K8" s="1082"/>
      <c r="L8" s="1082"/>
      <c r="M8" s="1083"/>
      <c r="N8" s="238" t="s">
        <v>319</v>
      </c>
      <c r="O8" s="164"/>
      <c r="P8" s="164"/>
      <c r="Q8" s="164"/>
      <c r="R8" s="164"/>
      <c r="S8" s="164"/>
      <c r="T8" s="164"/>
      <c r="U8" s="164"/>
      <c r="V8" s="164"/>
      <c r="W8" s="164"/>
      <c r="X8" s="164"/>
      <c r="Y8" s="164"/>
    </row>
    <row r="9" spans="1:25" s="306" customFormat="1" ht="24.95" customHeight="1" thickTop="1" x14ac:dyDescent="0.2">
      <c r="A9" s="164"/>
      <c r="B9" s="241" t="s">
        <v>591</v>
      </c>
      <c r="C9" s="1087" t="str">
        <f>'DA2'!H10</f>
        <v xml:space="preserve"> </v>
      </c>
      <c r="D9" s="1087"/>
      <c r="E9" s="1087"/>
      <c r="F9" s="1087"/>
      <c r="G9" s="1087"/>
      <c r="H9" s="1087"/>
      <c r="I9" s="1087"/>
      <c r="J9" s="1087"/>
      <c r="K9" s="1087"/>
      <c r="L9" s="1087"/>
      <c r="M9" s="1088"/>
      <c r="N9" s="307"/>
      <c r="O9" s="164"/>
      <c r="P9" s="164"/>
      <c r="Q9" s="164"/>
      <c r="R9" s="164"/>
      <c r="S9" s="164"/>
      <c r="T9" s="164"/>
      <c r="U9" s="164"/>
      <c r="V9" s="164"/>
      <c r="W9" s="164"/>
      <c r="X9" s="164"/>
      <c r="Y9" s="164"/>
    </row>
    <row r="10" spans="1:25" s="306" customFormat="1" ht="24.95" customHeight="1" x14ac:dyDescent="0.2">
      <c r="A10" s="164"/>
      <c r="B10" s="241" t="s">
        <v>592</v>
      </c>
      <c r="C10" s="1087" t="e">
        <f>'DA2'!H9-'DA2'!H10</f>
        <v>#VALUE!</v>
      </c>
      <c r="D10" s="1087"/>
      <c r="E10" s="1087"/>
      <c r="F10" s="1087"/>
      <c r="G10" s="1087"/>
      <c r="H10" s="1087"/>
      <c r="I10" s="1087"/>
      <c r="J10" s="1087"/>
      <c r="K10" s="1087"/>
      <c r="L10" s="1087"/>
      <c r="M10" s="1088"/>
      <c r="N10" s="308"/>
      <c r="O10" s="164"/>
      <c r="P10" s="164"/>
      <c r="Q10" s="164"/>
      <c r="R10" s="164"/>
      <c r="S10" s="164"/>
      <c r="T10" s="164"/>
      <c r="U10" s="164"/>
      <c r="V10" s="164"/>
      <c r="W10" s="164"/>
      <c r="X10" s="164"/>
      <c r="Y10" s="164"/>
    </row>
    <row r="11" spans="1:25" s="306" customFormat="1" ht="33" x14ac:dyDescent="0.2">
      <c r="A11" s="164"/>
      <c r="B11" s="286" t="s">
        <v>576</v>
      </c>
      <c r="C11" s="1032" t="e">
        <f>'SITE SUMMARY'!G40</f>
        <v>#VALUE!</v>
      </c>
      <c r="D11" s="1032"/>
      <c r="E11" s="1032"/>
      <c r="F11" s="1032"/>
      <c r="G11" s="1032"/>
      <c r="H11" s="1032"/>
      <c r="I11" s="1032"/>
      <c r="J11" s="1032"/>
      <c r="K11" s="1032"/>
      <c r="L11" s="1032"/>
      <c r="M11" s="1033"/>
      <c r="N11" s="1035" t="s">
        <v>578</v>
      </c>
      <c r="O11" s="164"/>
      <c r="P11" s="164"/>
      <c r="Q11" s="164"/>
      <c r="R11" s="164"/>
      <c r="S11" s="164"/>
      <c r="T11" s="164"/>
      <c r="U11" s="164"/>
      <c r="V11" s="164"/>
      <c r="W11" s="164"/>
      <c r="X11" s="164"/>
      <c r="Y11" s="164"/>
    </row>
    <row r="12" spans="1:25" s="306" customFormat="1" ht="34.5" customHeight="1" x14ac:dyDescent="0.2">
      <c r="A12" s="164"/>
      <c r="B12" s="286" t="s">
        <v>593</v>
      </c>
      <c r="C12" s="1032" t="e">
        <f>IF('SITE SUMMARY'!G35="High",('DA2'!$D$80),0)</f>
        <v>#DIV/0!</v>
      </c>
      <c r="D12" s="1032" t="str">
        <f>IF($G$36="High",('DA1'!$D$80),"NA")</f>
        <v>NA</v>
      </c>
      <c r="E12" s="1032" t="str">
        <f>IF($G$36="High",('DA1'!$D$80),"NA")</f>
        <v>NA</v>
      </c>
      <c r="F12" s="1032" t="str">
        <f>IF($G$36="High",('DA1'!$D$80),"NA")</f>
        <v>NA</v>
      </c>
      <c r="G12" s="1032" t="str">
        <f>IF($G$36="High",('DA1'!$D$80),"NA")</f>
        <v>NA</v>
      </c>
      <c r="H12" s="1032" t="str">
        <f>IF($G$36="High",('DA1'!$D$80),"NA")</f>
        <v>NA</v>
      </c>
      <c r="I12" s="1032" t="str">
        <f>IF($G$36="High",('DA1'!$D$80),"NA")</f>
        <v>NA</v>
      </c>
      <c r="J12" s="1032" t="str">
        <f>IF($G$36="High",('DA1'!$D$80),"NA")</f>
        <v>NA</v>
      </c>
      <c r="K12" s="1032" t="str">
        <f>IF($G$36="High",('DA1'!$D$80),"NA")</f>
        <v>NA</v>
      </c>
      <c r="L12" s="1032" t="str">
        <f>IF($G$36="High",('DA1'!$D$80),"NA")</f>
        <v>NA</v>
      </c>
      <c r="M12" s="1033" t="str">
        <f>IF($G$36="High",('DA1'!$D$80),"NA")</f>
        <v>NA</v>
      </c>
      <c r="N12" s="1035"/>
      <c r="O12" s="164"/>
      <c r="P12" s="164"/>
      <c r="Q12" s="164"/>
      <c r="R12" s="164"/>
      <c r="S12" s="164"/>
      <c r="T12" s="164"/>
      <c r="U12" s="164"/>
      <c r="V12" s="164"/>
      <c r="W12" s="164"/>
      <c r="X12" s="164"/>
      <c r="Y12" s="164"/>
    </row>
    <row r="13" spans="1:25" s="306" customFormat="1" ht="60" x14ac:dyDescent="0.2">
      <c r="A13" s="164"/>
      <c r="B13" s="286" t="s">
        <v>583</v>
      </c>
      <c r="C13" s="364" t="s">
        <v>516</v>
      </c>
      <c r="D13" s="1038" t="s">
        <v>565</v>
      </c>
      <c r="E13" s="1039"/>
      <c r="F13" s="1039"/>
      <c r="G13" s="1026">
        <v>0</v>
      </c>
      <c r="H13" s="1027"/>
      <c r="I13" s="1028"/>
      <c r="J13" s="1029" t="s">
        <v>574</v>
      </c>
      <c r="K13" s="1030"/>
      <c r="L13" s="1030"/>
      <c r="M13" s="1031"/>
      <c r="N13" s="608" t="s">
        <v>594</v>
      </c>
      <c r="O13" s="164"/>
      <c r="P13" s="164"/>
      <c r="Q13" s="164"/>
      <c r="R13" s="164"/>
      <c r="S13" s="164"/>
      <c r="T13" s="164"/>
      <c r="U13" s="164"/>
      <c r="V13" s="164"/>
      <c r="W13" s="164"/>
      <c r="X13" s="164"/>
      <c r="Y13" s="164"/>
    </row>
    <row r="14" spans="1:25" s="306" customFormat="1" ht="24.95" customHeight="1" x14ac:dyDescent="0.2">
      <c r="A14" s="164"/>
      <c r="B14" s="1084" t="s">
        <v>320</v>
      </c>
      <c r="C14" s="1085"/>
      <c r="D14" s="1085"/>
      <c r="E14" s="1085"/>
      <c r="F14" s="1085"/>
      <c r="G14" s="1085"/>
      <c r="H14" s="1085"/>
      <c r="I14" s="1085"/>
      <c r="J14" s="1085"/>
      <c r="K14" s="1085"/>
      <c r="L14" s="1085"/>
      <c r="M14" s="1086"/>
      <c r="N14" s="368"/>
      <c r="O14" s="369"/>
      <c r="P14" s="369"/>
      <c r="Q14" s="369"/>
      <c r="R14" s="369"/>
      <c r="S14" s="369"/>
      <c r="T14" s="369"/>
      <c r="U14" s="164"/>
      <c r="V14" s="164"/>
      <c r="W14" s="164"/>
      <c r="X14" s="164"/>
      <c r="Y14" s="164"/>
    </row>
    <row r="15" spans="1:25" s="327" customFormat="1" ht="35.1" customHeight="1" x14ac:dyDescent="0.2">
      <c r="A15" s="326"/>
      <c r="B15" s="1089" t="s">
        <v>273</v>
      </c>
      <c r="C15" s="1090"/>
      <c r="D15" s="1093" t="s">
        <v>595</v>
      </c>
      <c r="E15" s="1093"/>
      <c r="F15" s="1093" t="s">
        <v>596</v>
      </c>
      <c r="G15" s="1093"/>
      <c r="H15" s="1093" t="s">
        <v>597</v>
      </c>
      <c r="I15" s="1093"/>
      <c r="J15" s="1093" t="s">
        <v>598</v>
      </c>
      <c r="K15" s="1093"/>
      <c r="L15" s="1093" t="s">
        <v>599</v>
      </c>
      <c r="M15" s="1115"/>
      <c r="N15" s="1119" t="s">
        <v>741</v>
      </c>
      <c r="O15" s="326"/>
      <c r="P15" s="326"/>
      <c r="Q15" s="326"/>
      <c r="R15" s="326"/>
      <c r="S15" s="326"/>
      <c r="T15" s="326"/>
      <c r="U15" s="326"/>
      <c r="V15" s="326"/>
      <c r="W15" s="326"/>
      <c r="X15" s="326"/>
      <c r="Y15" s="326"/>
    </row>
    <row r="16" spans="1:25" s="327" customFormat="1" x14ac:dyDescent="0.2">
      <c r="A16" s="326"/>
      <c r="B16" s="1089"/>
      <c r="C16" s="1090"/>
      <c r="D16" s="131" t="s">
        <v>281</v>
      </c>
      <c r="E16" s="131" t="s">
        <v>282</v>
      </c>
      <c r="F16" s="131" t="s">
        <v>281</v>
      </c>
      <c r="G16" s="131" t="s">
        <v>282</v>
      </c>
      <c r="H16" s="131" t="s">
        <v>281</v>
      </c>
      <c r="I16" s="131" t="s">
        <v>282</v>
      </c>
      <c r="J16" s="131" t="s">
        <v>281</v>
      </c>
      <c r="K16" s="131" t="s">
        <v>282</v>
      </c>
      <c r="L16" s="131" t="s">
        <v>281</v>
      </c>
      <c r="M16" s="240" t="s">
        <v>282</v>
      </c>
      <c r="N16" s="1119"/>
      <c r="O16" s="326"/>
      <c r="P16" s="326"/>
      <c r="Q16" s="326"/>
      <c r="R16" s="326"/>
      <c r="S16" s="326"/>
      <c r="T16" s="326"/>
      <c r="U16" s="326"/>
      <c r="V16" s="326"/>
      <c r="W16" s="326"/>
      <c r="X16" s="326"/>
      <c r="Y16" s="326"/>
    </row>
    <row r="17" spans="1:25" s="327" customFormat="1" ht="24.95" customHeight="1" x14ac:dyDescent="0.2">
      <c r="A17" s="326"/>
      <c r="B17" s="1091" t="s">
        <v>12</v>
      </c>
      <c r="C17" s="1092"/>
      <c r="D17" s="364" t="s">
        <v>755</v>
      </c>
      <c r="E17" s="364"/>
      <c r="F17" s="364"/>
      <c r="G17" s="364"/>
      <c r="H17" s="364"/>
      <c r="I17" s="364"/>
      <c r="J17" s="364"/>
      <c r="K17" s="364"/>
      <c r="L17" s="364"/>
      <c r="M17" s="365"/>
      <c r="N17" s="1119"/>
      <c r="O17" s="326"/>
      <c r="P17" s="326"/>
      <c r="Q17" s="326"/>
      <c r="R17" s="326"/>
      <c r="S17" s="326"/>
      <c r="T17" s="326"/>
      <c r="U17" s="326"/>
      <c r="V17" s="326"/>
      <c r="W17" s="326"/>
      <c r="X17" s="326"/>
      <c r="Y17" s="326"/>
    </row>
    <row r="18" spans="1:25" s="327" customFormat="1" ht="24.95" customHeight="1" x14ac:dyDescent="0.2">
      <c r="A18" s="326"/>
      <c r="B18" s="1091" t="s">
        <v>253</v>
      </c>
      <c r="C18" s="1092"/>
      <c r="D18" s="364"/>
      <c r="E18" s="364"/>
      <c r="F18" s="364"/>
      <c r="G18" s="364"/>
      <c r="H18" s="364"/>
      <c r="I18" s="364"/>
      <c r="J18" s="364"/>
      <c r="K18" s="364"/>
      <c r="L18" s="364"/>
      <c r="M18" s="365"/>
      <c r="N18" s="1119"/>
      <c r="O18" s="326"/>
      <c r="P18" s="326"/>
      <c r="Q18" s="326"/>
      <c r="R18" s="326"/>
      <c r="S18" s="326"/>
      <c r="T18" s="326"/>
      <c r="U18" s="326"/>
      <c r="V18" s="326"/>
      <c r="W18" s="326"/>
      <c r="X18" s="326"/>
      <c r="Y18" s="326"/>
    </row>
    <row r="19" spans="1:25" s="327" customFormat="1" ht="24.95" customHeight="1" x14ac:dyDescent="0.2">
      <c r="A19" s="326"/>
      <c r="B19" s="1091" t="s">
        <v>260</v>
      </c>
      <c r="C19" s="1092"/>
      <c r="D19" s="364"/>
      <c r="E19" s="364"/>
      <c r="F19" s="364"/>
      <c r="G19" s="364"/>
      <c r="H19" s="364"/>
      <c r="I19" s="364"/>
      <c r="J19" s="364"/>
      <c r="K19" s="364"/>
      <c r="L19" s="364"/>
      <c r="M19" s="365"/>
      <c r="N19" s="1119"/>
      <c r="O19" s="326"/>
      <c r="P19" s="326"/>
      <c r="Q19" s="326"/>
      <c r="R19" s="326"/>
      <c r="S19" s="326"/>
      <c r="T19" s="326"/>
      <c r="U19" s="326"/>
      <c r="V19" s="326"/>
      <c r="W19" s="326"/>
      <c r="X19" s="326"/>
      <c r="Y19" s="326"/>
    </row>
    <row r="20" spans="1:25" s="327" customFormat="1" ht="24.95" customHeight="1" x14ac:dyDescent="0.2">
      <c r="A20" s="326"/>
      <c r="B20" s="1091" t="s">
        <v>254</v>
      </c>
      <c r="C20" s="1092"/>
      <c r="D20" s="364"/>
      <c r="E20" s="364"/>
      <c r="F20" s="364"/>
      <c r="G20" s="364"/>
      <c r="H20" s="364"/>
      <c r="I20" s="364"/>
      <c r="J20" s="364"/>
      <c r="K20" s="364"/>
      <c r="L20" s="364"/>
      <c r="M20" s="365"/>
      <c r="N20" s="1119"/>
      <c r="O20" s="326"/>
      <c r="P20" s="326"/>
      <c r="Q20" s="326"/>
      <c r="R20" s="326"/>
      <c r="S20" s="326"/>
      <c r="T20" s="326"/>
      <c r="U20" s="326"/>
      <c r="V20" s="326"/>
      <c r="W20" s="326"/>
      <c r="X20" s="326"/>
      <c r="Y20" s="326"/>
    </row>
    <row r="21" spans="1:25" s="327" customFormat="1" ht="24.95" customHeight="1" x14ac:dyDescent="0.2">
      <c r="A21" s="326"/>
      <c r="B21" s="1091" t="s">
        <v>255</v>
      </c>
      <c r="C21" s="1092"/>
      <c r="D21" s="364"/>
      <c r="E21" s="364"/>
      <c r="F21" s="364"/>
      <c r="G21" s="364"/>
      <c r="H21" s="364"/>
      <c r="I21" s="364"/>
      <c r="J21" s="364"/>
      <c r="K21" s="364"/>
      <c r="L21" s="364"/>
      <c r="M21" s="365"/>
      <c r="N21" s="1119"/>
      <c r="O21" s="326"/>
      <c r="P21" s="326"/>
      <c r="Q21" s="326"/>
      <c r="R21" s="326"/>
      <c r="S21" s="326"/>
      <c r="T21" s="326"/>
      <c r="U21" s="326"/>
      <c r="V21" s="326"/>
      <c r="W21" s="326"/>
      <c r="X21" s="326"/>
      <c r="Y21" s="326"/>
    </row>
    <row r="22" spans="1:25" ht="24.95" customHeight="1" x14ac:dyDescent="0.2">
      <c r="B22" s="1091" t="s">
        <v>256</v>
      </c>
      <c r="C22" s="1092"/>
      <c r="D22" s="364"/>
      <c r="E22" s="364"/>
      <c r="F22" s="364"/>
      <c r="G22" s="364"/>
      <c r="H22" s="364"/>
      <c r="I22" s="364"/>
      <c r="J22" s="364"/>
      <c r="K22" s="364"/>
      <c r="L22" s="364"/>
      <c r="M22" s="365"/>
      <c r="N22" s="1119"/>
    </row>
    <row r="23" spans="1:25" ht="24.95" customHeight="1" x14ac:dyDescent="0.2">
      <c r="B23" s="1091" t="s">
        <v>257</v>
      </c>
      <c r="C23" s="1092"/>
      <c r="D23" s="364"/>
      <c r="E23" s="364"/>
      <c r="F23" s="364"/>
      <c r="G23" s="364"/>
      <c r="H23" s="364"/>
      <c r="I23" s="364"/>
      <c r="J23" s="364"/>
      <c r="K23" s="364"/>
      <c r="L23" s="364"/>
      <c r="M23" s="365"/>
      <c r="N23" s="370"/>
    </row>
    <row r="24" spans="1:25" ht="24.95" customHeight="1" x14ac:dyDescent="0.2">
      <c r="B24" s="1091" t="s">
        <v>245</v>
      </c>
      <c r="C24" s="1092"/>
      <c r="D24" s="364"/>
      <c r="E24" s="364"/>
      <c r="F24" s="364"/>
      <c r="G24" s="364"/>
      <c r="H24" s="364"/>
      <c r="I24" s="364"/>
      <c r="J24" s="364"/>
      <c r="K24" s="364"/>
      <c r="L24" s="364"/>
      <c r="M24" s="365"/>
      <c r="N24" s="370"/>
    </row>
    <row r="25" spans="1:25" ht="24.95" customHeight="1" x14ac:dyDescent="0.2">
      <c r="B25" s="1091" t="s">
        <v>44</v>
      </c>
      <c r="C25" s="1092"/>
      <c r="D25" s="364"/>
      <c r="E25" s="364"/>
      <c r="F25" s="364"/>
      <c r="G25" s="364"/>
      <c r="H25" s="364"/>
      <c r="I25" s="364"/>
      <c r="J25" s="364"/>
      <c r="K25" s="364"/>
      <c r="L25" s="364"/>
      <c r="M25" s="365"/>
      <c r="N25" s="446" t="str">
        <f>IF(SUM( D17:D25,F17:F25,H17:H25,J17:J25,L17:L25)=C9,"","DOES NOT MATCH SITE ACREAGES")</f>
        <v>DOES NOT MATCH SITE ACREAGES</v>
      </c>
    </row>
    <row r="26" spans="1:25" s="373" customFormat="1" ht="15.75" hidden="1" x14ac:dyDescent="0.25">
      <c r="A26" s="574"/>
      <c r="B26" s="371" t="s">
        <v>291</v>
      </c>
      <c r="C26" s="372"/>
      <c r="D26" s="315">
        <f>SUM(D17:D25)</f>
        <v>0</v>
      </c>
      <c r="E26" s="315">
        <f t="shared" ref="E26:M26" si="0">SUM(E17:E25)</f>
        <v>0</v>
      </c>
      <c r="F26" s="315">
        <f t="shared" si="0"/>
        <v>0</v>
      </c>
      <c r="G26" s="315">
        <f t="shared" si="0"/>
        <v>0</v>
      </c>
      <c r="H26" s="315">
        <f t="shared" si="0"/>
        <v>0</v>
      </c>
      <c r="I26" s="315">
        <f t="shared" si="0"/>
        <v>0</v>
      </c>
      <c r="J26" s="315">
        <f t="shared" si="0"/>
        <v>0</v>
      </c>
      <c r="K26" s="315">
        <f t="shared" si="0"/>
        <v>0</v>
      </c>
      <c r="L26" s="315">
        <f t="shared" si="0"/>
        <v>0</v>
      </c>
      <c r="M26" s="316">
        <f t="shared" si="0"/>
        <v>0</v>
      </c>
      <c r="N26" s="330"/>
      <c r="O26" s="574"/>
      <c r="P26" s="574"/>
      <c r="Q26" s="574"/>
      <c r="R26" s="574"/>
      <c r="S26" s="574"/>
      <c r="T26" s="574"/>
      <c r="U26" s="574"/>
      <c r="V26" s="574"/>
      <c r="W26" s="574"/>
      <c r="X26" s="574"/>
      <c r="Y26" s="574"/>
    </row>
    <row r="27" spans="1:25" s="306" customFormat="1" ht="15.75" x14ac:dyDescent="0.2">
      <c r="A27" s="164"/>
      <c r="B27" s="953" t="s">
        <v>286</v>
      </c>
      <c r="C27" s="954"/>
      <c r="D27" s="954"/>
      <c r="E27" s="954"/>
      <c r="F27" s="954"/>
      <c r="G27" s="954"/>
      <c r="H27" s="954"/>
      <c r="I27" s="954"/>
      <c r="J27" s="954"/>
      <c r="K27" s="954"/>
      <c r="L27" s="954"/>
      <c r="M27" s="955"/>
      <c r="N27" s="324"/>
      <c r="O27" s="164"/>
      <c r="P27" s="164"/>
      <c r="Q27" s="164"/>
      <c r="R27" s="164"/>
      <c r="S27" s="164"/>
      <c r="T27" s="164"/>
      <c r="U27" s="164"/>
      <c r="V27" s="164"/>
      <c r="W27" s="164"/>
      <c r="X27" s="164"/>
      <c r="Y27" s="164"/>
    </row>
    <row r="28" spans="1:25" s="507" customFormat="1" ht="79.5" customHeight="1" x14ac:dyDescent="0.2">
      <c r="B28" s="374" t="s">
        <v>318</v>
      </c>
      <c r="C28" s="375" t="s">
        <v>284</v>
      </c>
      <c r="D28" s="1034" t="s">
        <v>568</v>
      </c>
      <c r="E28" s="1034"/>
      <c r="F28" s="1034"/>
      <c r="G28" s="1040" t="s">
        <v>567</v>
      </c>
      <c r="H28" s="1041"/>
      <c r="I28" s="1042"/>
      <c r="J28" s="631" t="s">
        <v>269</v>
      </c>
      <c r="K28" s="631" t="s">
        <v>491</v>
      </c>
      <c r="L28" s="631" t="s">
        <v>492</v>
      </c>
      <c r="M28" s="376" t="s">
        <v>322</v>
      </c>
      <c r="N28" s="377" t="s">
        <v>321</v>
      </c>
    </row>
    <row r="29" spans="1:25" ht="24.95" customHeight="1" x14ac:dyDescent="0.2">
      <c r="B29" s="562"/>
      <c r="C29" s="400"/>
      <c r="D29" s="1043" t="e">
        <f>IF('SITE SUMMARY'!$G$35="High",E151,"-")</f>
        <v>#DIV/0!</v>
      </c>
      <c r="E29" s="1044"/>
      <c r="F29" s="1045"/>
      <c r="G29" s="1120"/>
      <c r="H29" s="1121"/>
      <c r="I29" s="1122"/>
      <c r="J29" s="378">
        <f>IF(ISERROR(VLOOKUP(C29,BMP,2,FALSE)),0,VLOOKUP(C29,BMP,2,FALSE))</f>
        <v>0</v>
      </c>
      <c r="K29" s="625">
        <f>IF(ISERROR($E$114),0,$E$114)</f>
        <v>0</v>
      </c>
      <c r="L29" s="625">
        <f>IF(ISERROR(K29*J29),0,K29*J29)</f>
        <v>0</v>
      </c>
      <c r="M29" s="401"/>
      <c r="N29" s="377"/>
      <c r="O29" s="379"/>
      <c r="P29" s="379"/>
      <c r="Q29" s="379"/>
      <c r="R29" s="379"/>
      <c r="S29" s="379"/>
      <c r="T29" s="379"/>
    </row>
    <row r="30" spans="1:25" ht="24.95" customHeight="1" x14ac:dyDescent="0.2">
      <c r="B30" s="563"/>
      <c r="C30" s="400"/>
      <c r="D30" s="1046"/>
      <c r="E30" s="1047"/>
      <c r="F30" s="1048"/>
      <c r="G30" s="1123"/>
      <c r="H30" s="1124"/>
      <c r="I30" s="1125"/>
      <c r="J30" s="378">
        <f>IF(ISERROR(VLOOKUP(C30,BMP,2,FALSE)),0,VLOOKUP(C30,BMP,2,FALSE))</f>
        <v>0</v>
      </c>
      <c r="K30" s="625">
        <f>IF(ISERROR(K29-L29),0,K29-L29)</f>
        <v>0</v>
      </c>
      <c r="L30" s="625">
        <f>IF(ISERROR(K30*J30),0,K30*J30)</f>
        <v>0</v>
      </c>
      <c r="M30" s="401"/>
      <c r="N30" s="380"/>
    </row>
    <row r="31" spans="1:25" ht="24.95" customHeight="1" x14ac:dyDescent="0.2">
      <c r="B31" s="563"/>
      <c r="C31" s="400"/>
      <c r="D31" s="1046"/>
      <c r="E31" s="1047"/>
      <c r="F31" s="1048"/>
      <c r="G31" s="1123"/>
      <c r="H31" s="1124"/>
      <c r="I31" s="1125"/>
      <c r="J31" s="378">
        <f>IF(ISERROR(VLOOKUP(C31,BMP,2,FALSE)),0,VLOOKUP(C31,BMP,2,FALSE))</f>
        <v>0</v>
      </c>
      <c r="K31" s="625">
        <f>IF(ISERROR(K30-L30),0,K30-L30)</f>
        <v>0</v>
      </c>
      <c r="L31" s="625">
        <f>IF(ISERROR(K31*J31),0,K31*J31)</f>
        <v>0</v>
      </c>
      <c r="M31" s="401"/>
      <c r="N31" s="380"/>
    </row>
    <row r="32" spans="1:25" ht="24.95" customHeight="1" x14ac:dyDescent="0.2">
      <c r="B32" s="563"/>
      <c r="C32" s="400"/>
      <c r="D32" s="1046"/>
      <c r="E32" s="1047"/>
      <c r="F32" s="1048"/>
      <c r="G32" s="1123"/>
      <c r="H32" s="1124"/>
      <c r="I32" s="1125"/>
      <c r="J32" s="378">
        <f>IF(ISERROR(VLOOKUP(C32,BMP,2,FALSE)),0,VLOOKUP(C32,BMP,2,FALSE))</f>
        <v>0</v>
      </c>
      <c r="K32" s="625">
        <f>IF(ISERROR(K31-L31),0,K31-L31)</f>
        <v>0</v>
      </c>
      <c r="L32" s="625">
        <f>IF(ISERROR(K32*J32),0,K32*J32)</f>
        <v>0</v>
      </c>
      <c r="M32" s="401"/>
      <c r="N32" s="380"/>
    </row>
    <row r="33" spans="1:25" ht="24.95" customHeight="1" x14ac:dyDescent="0.2">
      <c r="B33" s="563"/>
      <c r="C33" s="400"/>
      <c r="D33" s="1049"/>
      <c r="E33" s="1050"/>
      <c r="F33" s="1051"/>
      <c r="G33" s="1126"/>
      <c r="H33" s="1127"/>
      <c r="I33" s="1128"/>
      <c r="J33" s="378">
        <f>IF(ISERROR(VLOOKUP(C33,BMP,2,FALSE)),0,VLOOKUP(C33,BMP,2,FALSE))</f>
        <v>0</v>
      </c>
      <c r="K33" s="625">
        <f>IF(ISERROR(K32-L32),0,K32-L32)</f>
        <v>0</v>
      </c>
      <c r="L33" s="625">
        <f>IF(ISERROR(K33*J33),0,K33*J33)</f>
        <v>0</v>
      </c>
      <c r="M33" s="401"/>
      <c r="N33" s="381"/>
    </row>
    <row r="34" spans="1:25" ht="24.95" customHeight="1" x14ac:dyDescent="0.2">
      <c r="B34" s="1052" t="s">
        <v>371</v>
      </c>
      <c r="C34" s="1053"/>
      <c r="D34" s="1054">
        <f>IF(J33&gt;0,K306-L33,IF(J32&gt;0,K32-L32,IF(J31&gt;0,K31-L31,IF(J30&gt;0,K30-L30,K29-L29))))</f>
        <v>0</v>
      </c>
      <c r="E34" s="1055"/>
      <c r="F34" s="1055"/>
      <c r="G34" s="1055"/>
      <c r="H34" s="1055"/>
      <c r="I34" s="1055"/>
      <c r="J34" s="1055"/>
      <c r="K34" s="1055"/>
      <c r="L34" s="1055"/>
      <c r="M34" s="1056"/>
      <c r="N34" s="382"/>
    </row>
    <row r="35" spans="1:25" s="306" customFormat="1" ht="24.95" customHeight="1" x14ac:dyDescent="0.2">
      <c r="A35" s="164"/>
      <c r="B35" s="953" t="s">
        <v>285</v>
      </c>
      <c r="C35" s="954"/>
      <c r="D35" s="954"/>
      <c r="E35" s="954"/>
      <c r="F35" s="954"/>
      <c r="G35" s="954"/>
      <c r="H35" s="954"/>
      <c r="I35" s="954"/>
      <c r="J35" s="954"/>
      <c r="K35" s="954"/>
      <c r="L35" s="954"/>
      <c r="M35" s="955"/>
      <c r="N35" s="382"/>
      <c r="O35" s="164"/>
      <c r="P35" s="164"/>
      <c r="Q35" s="164"/>
      <c r="R35" s="164"/>
      <c r="S35" s="164"/>
      <c r="T35" s="164"/>
      <c r="U35" s="164"/>
      <c r="V35" s="164"/>
      <c r="W35" s="164"/>
      <c r="X35" s="164"/>
      <c r="Y35" s="164"/>
    </row>
    <row r="36" spans="1:25" s="507" customFormat="1" ht="39.75" customHeight="1" x14ac:dyDescent="0.2">
      <c r="B36" s="1019" t="s">
        <v>584</v>
      </c>
      <c r="C36" s="1020"/>
      <c r="D36" s="1057"/>
      <c r="E36" s="1058"/>
      <c r="F36" s="1058"/>
      <c r="G36" s="1058"/>
      <c r="H36" s="1058"/>
      <c r="I36" s="1058"/>
      <c r="J36" s="1058"/>
      <c r="K36" s="1058"/>
      <c r="L36" s="1058"/>
      <c r="M36" s="1059"/>
      <c r="N36" s="382"/>
    </row>
    <row r="37" spans="1:25" s="507" customFormat="1" ht="39.75" hidden="1" customHeight="1" x14ac:dyDescent="0.2">
      <c r="B37" s="1019" t="s">
        <v>585</v>
      </c>
      <c r="C37" s="1020"/>
      <c r="D37" s="1129"/>
      <c r="E37" s="1130"/>
      <c r="F37" s="1130"/>
      <c r="G37" s="1130"/>
      <c r="H37" s="1130"/>
      <c r="I37" s="1130"/>
      <c r="J37" s="1130"/>
      <c r="K37" s="1130"/>
      <c r="L37" s="1130"/>
      <c r="M37" s="1131"/>
      <c r="N37" s="382"/>
    </row>
    <row r="38" spans="1:25" s="507" customFormat="1" ht="79.5" customHeight="1" x14ac:dyDescent="0.2">
      <c r="B38" s="374" t="s">
        <v>318</v>
      </c>
      <c r="C38" s="375" t="s">
        <v>284</v>
      </c>
      <c r="D38" s="1034" t="s">
        <v>568</v>
      </c>
      <c r="E38" s="1034"/>
      <c r="F38" s="1034"/>
      <c r="G38" s="1034" t="s">
        <v>490</v>
      </c>
      <c r="H38" s="1034"/>
      <c r="I38" s="1034"/>
      <c r="J38" s="631" t="s">
        <v>269</v>
      </c>
      <c r="K38" s="631" t="s">
        <v>491</v>
      </c>
      <c r="L38" s="631" t="s">
        <v>492</v>
      </c>
      <c r="M38" s="376" t="s">
        <v>322</v>
      </c>
      <c r="N38" s="382"/>
    </row>
    <row r="39" spans="1:25" ht="24.95" customHeight="1" x14ac:dyDescent="0.2">
      <c r="B39" s="399"/>
      <c r="C39" s="400"/>
      <c r="D39" s="1043" t="e">
        <f>IF('SITE SUMMARY'!$G$35="High",E155,"-")</f>
        <v>#DIV/0!</v>
      </c>
      <c r="E39" s="1044"/>
      <c r="F39" s="1045"/>
      <c r="G39" s="1060"/>
      <c r="H39" s="1061"/>
      <c r="I39" s="1062"/>
      <c r="J39" s="378">
        <f>IF(ISERROR(VLOOKUP(C39,BMP,2,FALSE)),0,VLOOKUP(C39,BMP,2,FALSE))</f>
        <v>0</v>
      </c>
      <c r="K39" s="625">
        <f>IF(ISERROR($F$114),D36,$F$114+D36)</f>
        <v>0</v>
      </c>
      <c r="L39" s="625">
        <f>IF(ISERROR(K39*J39),0,K39*J39)</f>
        <v>0</v>
      </c>
      <c r="M39" s="401"/>
      <c r="N39" s="382"/>
      <c r="O39" s="379"/>
      <c r="P39" s="379"/>
      <c r="Q39" s="379"/>
      <c r="R39" s="379"/>
      <c r="S39" s="379"/>
      <c r="T39" s="379"/>
    </row>
    <row r="40" spans="1:25" ht="24.95" customHeight="1" x14ac:dyDescent="0.2">
      <c r="B40" s="399"/>
      <c r="C40" s="400"/>
      <c r="D40" s="1046"/>
      <c r="E40" s="1047"/>
      <c r="F40" s="1048"/>
      <c r="G40" s="1063"/>
      <c r="H40" s="1064"/>
      <c r="I40" s="1065"/>
      <c r="J40" s="378">
        <f>IF(ISERROR(VLOOKUP(C40,BMP,2,FALSE)),0,VLOOKUP(C40,BMP,2,FALSE))</f>
        <v>0</v>
      </c>
      <c r="K40" s="625">
        <f>IF(ISERROR(K39-L39),0,K39-L39)</f>
        <v>0</v>
      </c>
      <c r="L40" s="625">
        <f>IF(ISERROR(K40*J40),0,K40*J40)</f>
        <v>0</v>
      </c>
      <c r="M40" s="401"/>
      <c r="N40" s="382"/>
    </row>
    <row r="41" spans="1:25" ht="24.75" customHeight="1" x14ac:dyDescent="0.2">
      <c r="B41" s="399"/>
      <c r="C41" s="400"/>
      <c r="D41" s="1046"/>
      <c r="E41" s="1047"/>
      <c r="F41" s="1048"/>
      <c r="G41" s="1063"/>
      <c r="H41" s="1064"/>
      <c r="I41" s="1065"/>
      <c r="J41" s="378">
        <f>IF(ISERROR(VLOOKUP(C41,BMP,2,FALSE)),0,VLOOKUP(C41,BMP,2,FALSE))</f>
        <v>0</v>
      </c>
      <c r="K41" s="625">
        <f>IF(ISERROR(K40-L40),0,K40-L40)</f>
        <v>0</v>
      </c>
      <c r="L41" s="625">
        <f>IF(ISERROR(K41*J41),0,K41*J41)</f>
        <v>0</v>
      </c>
      <c r="M41" s="401"/>
      <c r="N41" s="382"/>
    </row>
    <row r="42" spans="1:25" ht="24.95" customHeight="1" x14ac:dyDescent="0.2">
      <c r="B42" s="399"/>
      <c r="C42" s="400"/>
      <c r="D42" s="1046"/>
      <c r="E42" s="1047"/>
      <c r="F42" s="1048"/>
      <c r="G42" s="1063"/>
      <c r="H42" s="1064"/>
      <c r="I42" s="1065"/>
      <c r="J42" s="378">
        <f>IF(ISERROR(VLOOKUP(C42,BMP,2,FALSE)),0,VLOOKUP(C42,BMP,2,FALSE))</f>
        <v>0</v>
      </c>
      <c r="K42" s="625">
        <f>IF(ISERROR(K41-L41),0,K41-L41)</f>
        <v>0</v>
      </c>
      <c r="L42" s="625">
        <f>IF(ISERROR(K42*J42),0,K42*J42)</f>
        <v>0</v>
      </c>
      <c r="M42" s="401"/>
      <c r="N42" s="382"/>
    </row>
    <row r="43" spans="1:25" ht="24.95" customHeight="1" x14ac:dyDescent="0.2">
      <c r="B43" s="399"/>
      <c r="C43" s="400"/>
      <c r="D43" s="1049"/>
      <c r="E43" s="1050"/>
      <c r="F43" s="1051"/>
      <c r="G43" s="1066"/>
      <c r="H43" s="1067"/>
      <c r="I43" s="1068"/>
      <c r="J43" s="378">
        <f>IF(ISERROR(VLOOKUP(C43,BMP,2,FALSE)),0,VLOOKUP(C43,BMP,2,FALSE))</f>
        <v>0</v>
      </c>
      <c r="K43" s="625">
        <f>IF(ISERROR(K42-L42),0,K42-L42)</f>
        <v>0</v>
      </c>
      <c r="L43" s="625">
        <f>IF(ISERROR(K43*J43),0,K43*J43)</f>
        <v>0</v>
      </c>
      <c r="M43" s="401"/>
      <c r="N43" s="381"/>
    </row>
    <row r="44" spans="1:25" ht="24.95" customHeight="1" x14ac:dyDescent="0.2">
      <c r="B44" s="1052" t="s">
        <v>371</v>
      </c>
      <c r="C44" s="1053"/>
      <c r="D44" s="1054">
        <f>IF(J43&gt;0,K43-L43,IF(J42&gt;0,K42-L42,IF(J41&gt;0,K41-L41,IF(J40&gt;0,K40-L40,K39-L39))))</f>
        <v>0</v>
      </c>
      <c r="E44" s="1055"/>
      <c r="F44" s="1055"/>
      <c r="G44" s="1055"/>
      <c r="H44" s="1055"/>
      <c r="I44" s="1055"/>
      <c r="J44" s="1055"/>
      <c r="K44" s="1055"/>
      <c r="L44" s="1055"/>
      <c r="M44" s="1056"/>
      <c r="N44" s="382"/>
    </row>
    <row r="45" spans="1:25" s="306" customFormat="1" ht="24.95" customHeight="1" x14ac:dyDescent="0.2">
      <c r="A45" s="164"/>
      <c r="B45" s="953" t="s">
        <v>298</v>
      </c>
      <c r="C45" s="954"/>
      <c r="D45" s="954"/>
      <c r="E45" s="954"/>
      <c r="F45" s="954"/>
      <c r="G45" s="954"/>
      <c r="H45" s="954"/>
      <c r="I45" s="954"/>
      <c r="J45" s="954"/>
      <c r="K45" s="954"/>
      <c r="L45" s="954"/>
      <c r="M45" s="955"/>
      <c r="N45" s="382"/>
      <c r="O45" s="164"/>
      <c r="P45" s="164"/>
      <c r="Q45" s="164"/>
      <c r="R45" s="164"/>
      <c r="S45" s="164"/>
      <c r="T45" s="164"/>
      <c r="U45" s="164"/>
      <c r="V45" s="164"/>
      <c r="W45" s="164"/>
      <c r="X45" s="164"/>
      <c r="Y45" s="164"/>
    </row>
    <row r="46" spans="1:25" s="507" customFormat="1" ht="39.950000000000003" customHeight="1" x14ac:dyDescent="0.2">
      <c r="B46" s="1019" t="s">
        <v>586</v>
      </c>
      <c r="C46" s="1020"/>
      <c r="D46" s="1057"/>
      <c r="E46" s="1058"/>
      <c r="F46" s="1058"/>
      <c r="G46" s="1058"/>
      <c r="H46" s="1058"/>
      <c r="I46" s="1058"/>
      <c r="J46" s="1058"/>
      <c r="K46" s="1058"/>
      <c r="L46" s="1058"/>
      <c r="M46" s="1059"/>
      <c r="N46" s="382"/>
    </row>
    <row r="47" spans="1:25" s="507" customFormat="1" ht="39.950000000000003" hidden="1" customHeight="1" x14ac:dyDescent="0.2">
      <c r="B47" s="1019" t="s">
        <v>587</v>
      </c>
      <c r="C47" s="1020"/>
      <c r="D47" s="1129"/>
      <c r="E47" s="1130"/>
      <c r="F47" s="1130"/>
      <c r="G47" s="1130"/>
      <c r="H47" s="1130"/>
      <c r="I47" s="1130"/>
      <c r="J47" s="1130"/>
      <c r="K47" s="1130"/>
      <c r="L47" s="1130"/>
      <c r="M47" s="1131"/>
      <c r="N47" s="382"/>
    </row>
    <row r="48" spans="1:25" s="507" customFormat="1" ht="79.5" customHeight="1" x14ac:dyDescent="0.2">
      <c r="B48" s="374" t="s">
        <v>318</v>
      </c>
      <c r="C48" s="375" t="s">
        <v>284</v>
      </c>
      <c r="D48" s="1034" t="s">
        <v>568</v>
      </c>
      <c r="E48" s="1034"/>
      <c r="F48" s="1034"/>
      <c r="G48" s="1040" t="s">
        <v>490</v>
      </c>
      <c r="H48" s="1041"/>
      <c r="I48" s="1042"/>
      <c r="J48" s="631" t="s">
        <v>269</v>
      </c>
      <c r="K48" s="631" t="s">
        <v>491</v>
      </c>
      <c r="L48" s="631" t="s">
        <v>492</v>
      </c>
      <c r="M48" s="376" t="s">
        <v>322</v>
      </c>
      <c r="N48" s="382"/>
    </row>
    <row r="49" spans="1:25" ht="24.95" customHeight="1" x14ac:dyDescent="0.2">
      <c r="B49" s="399"/>
      <c r="C49" s="400"/>
      <c r="D49" s="1043" t="e">
        <f>IF('SITE SUMMARY'!$G$35="High",E159,"-")</f>
        <v>#DIV/0!</v>
      </c>
      <c r="E49" s="1044"/>
      <c r="F49" s="1045"/>
      <c r="G49" s="1060"/>
      <c r="H49" s="1061"/>
      <c r="I49" s="1062"/>
      <c r="J49" s="378">
        <f>IF(ISERROR(VLOOKUP(C49,BMP,2,FALSE)),0,VLOOKUP(C49,BMP,2,FALSE))</f>
        <v>0</v>
      </c>
      <c r="K49" s="625">
        <f>IF(ISERROR($G$114),D46,$G$114+D46)</f>
        <v>0</v>
      </c>
      <c r="L49" s="625">
        <f>IF(ISERROR(K49*J49),0,K49*J49)</f>
        <v>0</v>
      </c>
      <c r="M49" s="401"/>
      <c r="N49" s="382"/>
      <c r="O49" s="379"/>
      <c r="P49" s="379"/>
      <c r="Q49" s="379"/>
      <c r="R49" s="379"/>
      <c r="S49" s="379"/>
      <c r="T49" s="379"/>
    </row>
    <row r="50" spans="1:25" ht="24.95" customHeight="1" x14ac:dyDescent="0.2">
      <c r="B50" s="399"/>
      <c r="C50" s="400"/>
      <c r="D50" s="1046"/>
      <c r="E50" s="1047"/>
      <c r="F50" s="1048"/>
      <c r="G50" s="1063"/>
      <c r="H50" s="1064"/>
      <c r="I50" s="1065"/>
      <c r="J50" s="378">
        <f>IF(ISERROR(VLOOKUP(C50,BMP,2,FALSE)),0,VLOOKUP(C50,BMP,2,FALSE))</f>
        <v>0</v>
      </c>
      <c r="K50" s="625">
        <f>IF(ISERROR(K49-L49),0,K49-L49)</f>
        <v>0</v>
      </c>
      <c r="L50" s="625">
        <f>IF(ISERROR(K50*J50),0,K50*J50)</f>
        <v>0</v>
      </c>
      <c r="M50" s="401"/>
      <c r="N50" s="382"/>
    </row>
    <row r="51" spans="1:25" ht="24.95" customHeight="1" x14ac:dyDescent="0.2">
      <c r="B51" s="399"/>
      <c r="C51" s="400"/>
      <c r="D51" s="1046"/>
      <c r="E51" s="1047"/>
      <c r="F51" s="1048"/>
      <c r="G51" s="1063"/>
      <c r="H51" s="1064"/>
      <c r="I51" s="1065"/>
      <c r="J51" s="378">
        <f>IF(ISERROR(VLOOKUP(C51,BMP,2,FALSE)),0,VLOOKUP(C51,BMP,2,FALSE))</f>
        <v>0</v>
      </c>
      <c r="K51" s="625">
        <f>IF(ISERROR(K50-L50),0,K50-L50)</f>
        <v>0</v>
      </c>
      <c r="L51" s="625">
        <f>IF(ISERROR(K51*J51),0,K51*J51)</f>
        <v>0</v>
      </c>
      <c r="M51" s="401"/>
      <c r="N51" s="382"/>
    </row>
    <row r="52" spans="1:25" ht="24.95" customHeight="1" x14ac:dyDescent="0.2">
      <c r="B52" s="399"/>
      <c r="C52" s="400"/>
      <c r="D52" s="1046"/>
      <c r="E52" s="1047"/>
      <c r="F52" s="1048"/>
      <c r="G52" s="1063"/>
      <c r="H52" s="1064"/>
      <c r="I52" s="1065"/>
      <c r="J52" s="378">
        <f>IF(ISERROR(VLOOKUP(C52,BMP,2,FALSE)),0,VLOOKUP(C52,BMP,2,FALSE))</f>
        <v>0</v>
      </c>
      <c r="K52" s="625">
        <f>IF(ISERROR(K51-L51),0,K51-L51)</f>
        <v>0</v>
      </c>
      <c r="L52" s="625">
        <f>IF(ISERROR(K52*J52),0,K52*J52)</f>
        <v>0</v>
      </c>
      <c r="M52" s="401"/>
      <c r="N52" s="382"/>
    </row>
    <row r="53" spans="1:25" ht="24.95" customHeight="1" x14ac:dyDescent="0.2">
      <c r="B53" s="399"/>
      <c r="C53" s="400"/>
      <c r="D53" s="1049"/>
      <c r="E53" s="1050"/>
      <c r="F53" s="1051"/>
      <c r="G53" s="1066"/>
      <c r="H53" s="1067"/>
      <c r="I53" s="1068"/>
      <c r="J53" s="378">
        <f>IF(ISERROR(VLOOKUP(C53,BMP,2,FALSE)),0,VLOOKUP(C53,BMP,2,FALSE))</f>
        <v>0</v>
      </c>
      <c r="K53" s="625">
        <f>IF(ISERROR(K52-L52),0,K52-L52)</f>
        <v>0</v>
      </c>
      <c r="L53" s="625">
        <f>IF(ISERROR(K53*J53),0,K53*J53)</f>
        <v>0</v>
      </c>
      <c r="M53" s="401"/>
      <c r="N53" s="381" t="e">
        <f>IF(G49&gt;(D49+5),"Exceeds Available Volume!","")</f>
        <v>#DIV/0!</v>
      </c>
    </row>
    <row r="54" spans="1:25" ht="24.95" customHeight="1" x14ac:dyDescent="0.2">
      <c r="B54" s="1052" t="s">
        <v>371</v>
      </c>
      <c r="C54" s="1053"/>
      <c r="D54" s="1054">
        <f>IF(J53&gt;0,K326-L53,IF(J52&gt;0,K52-L52,IF(J51&gt;0,K51-L51,IF(J50&gt;0,K50-L50,K49-L49))))</f>
        <v>0</v>
      </c>
      <c r="E54" s="1055"/>
      <c r="F54" s="1055"/>
      <c r="G54" s="1055"/>
      <c r="H54" s="1055"/>
      <c r="I54" s="1055"/>
      <c r="J54" s="1055"/>
      <c r="K54" s="1055"/>
      <c r="L54" s="1055"/>
      <c r="M54" s="1056"/>
      <c r="N54" s="382"/>
    </row>
    <row r="55" spans="1:25" s="306" customFormat="1" ht="24.95" customHeight="1" x14ac:dyDescent="0.2">
      <c r="A55" s="164"/>
      <c r="B55" s="953" t="s">
        <v>287</v>
      </c>
      <c r="C55" s="954"/>
      <c r="D55" s="954"/>
      <c r="E55" s="954"/>
      <c r="F55" s="954"/>
      <c r="G55" s="954"/>
      <c r="H55" s="954"/>
      <c r="I55" s="954"/>
      <c r="J55" s="954"/>
      <c r="K55" s="954"/>
      <c r="L55" s="954"/>
      <c r="M55" s="955"/>
      <c r="N55" s="382"/>
      <c r="O55" s="164"/>
      <c r="P55" s="164"/>
      <c r="Q55" s="164"/>
      <c r="R55" s="164"/>
      <c r="S55" s="164"/>
      <c r="T55" s="164"/>
      <c r="U55" s="164"/>
      <c r="V55" s="164"/>
      <c r="W55" s="164"/>
      <c r="X55" s="164"/>
      <c r="Y55" s="164"/>
    </row>
    <row r="56" spans="1:25" s="507" customFormat="1" ht="39.75" customHeight="1" x14ac:dyDescent="0.2">
      <c r="B56" s="1019" t="s">
        <v>499</v>
      </c>
      <c r="C56" s="1020"/>
      <c r="D56" s="1057"/>
      <c r="E56" s="1058"/>
      <c r="F56" s="1058"/>
      <c r="G56" s="1058"/>
      <c r="H56" s="1058"/>
      <c r="I56" s="1058"/>
      <c r="J56" s="1058"/>
      <c r="K56" s="1058"/>
      <c r="L56" s="1058"/>
      <c r="M56" s="1059"/>
      <c r="N56" s="382"/>
    </row>
    <row r="57" spans="1:25" s="507" customFormat="1" ht="39.75" hidden="1" customHeight="1" x14ac:dyDescent="0.2">
      <c r="B57" s="1019" t="s">
        <v>500</v>
      </c>
      <c r="C57" s="1020"/>
      <c r="D57" s="1129"/>
      <c r="E57" s="1130"/>
      <c r="F57" s="1130"/>
      <c r="G57" s="1130"/>
      <c r="H57" s="1130"/>
      <c r="I57" s="1130"/>
      <c r="J57" s="1130"/>
      <c r="K57" s="1130"/>
      <c r="L57" s="1130"/>
      <c r="M57" s="1131"/>
      <c r="N57" s="382"/>
    </row>
    <row r="58" spans="1:25" s="507" customFormat="1" ht="79.5" customHeight="1" x14ac:dyDescent="0.2">
      <c r="B58" s="374" t="s">
        <v>318</v>
      </c>
      <c r="C58" s="375" t="s">
        <v>284</v>
      </c>
      <c r="D58" s="1034" t="s">
        <v>568</v>
      </c>
      <c r="E58" s="1034"/>
      <c r="F58" s="1034"/>
      <c r="G58" s="1040" t="s">
        <v>490</v>
      </c>
      <c r="H58" s="1041"/>
      <c r="I58" s="1042"/>
      <c r="J58" s="631" t="s">
        <v>269</v>
      </c>
      <c r="K58" s="631" t="s">
        <v>491</v>
      </c>
      <c r="L58" s="631" t="s">
        <v>492</v>
      </c>
      <c r="M58" s="376" t="s">
        <v>322</v>
      </c>
      <c r="N58" s="382"/>
    </row>
    <row r="59" spans="1:25" ht="24.95" customHeight="1" x14ac:dyDescent="0.2">
      <c r="B59" s="399"/>
      <c r="C59" s="400"/>
      <c r="D59" s="1043" t="e">
        <f>IF('SITE SUMMARY'!$G$35="High",E163,"-")</f>
        <v>#DIV/0!</v>
      </c>
      <c r="E59" s="1044"/>
      <c r="F59" s="1045"/>
      <c r="G59" s="1060"/>
      <c r="H59" s="1061"/>
      <c r="I59" s="1062"/>
      <c r="J59" s="378">
        <f>IF(ISERROR(VLOOKUP(C59,BMP,2,FALSE)),0,VLOOKUP(C59,BMP,2,FALSE))</f>
        <v>0</v>
      </c>
      <c r="K59" s="625">
        <f>IF(ISERROR($H$114),D56,$H$114+D56)</f>
        <v>0</v>
      </c>
      <c r="L59" s="625">
        <f>IF(ISERROR(K59*J59),0,K59*J59)</f>
        <v>0</v>
      </c>
      <c r="M59" s="401"/>
      <c r="N59" s="382"/>
      <c r="O59" s="379"/>
      <c r="P59" s="379"/>
      <c r="Q59" s="379"/>
      <c r="R59" s="379"/>
      <c r="S59" s="379"/>
      <c r="T59" s="379"/>
    </row>
    <row r="60" spans="1:25" ht="24.95" customHeight="1" x14ac:dyDescent="0.2">
      <c r="B60" s="399"/>
      <c r="C60" s="400"/>
      <c r="D60" s="1046"/>
      <c r="E60" s="1047"/>
      <c r="F60" s="1048"/>
      <c r="G60" s="1063"/>
      <c r="H60" s="1064"/>
      <c r="I60" s="1065"/>
      <c r="J60" s="378">
        <f>IF(ISERROR(VLOOKUP(C60,BMP,2,FALSE)),0,VLOOKUP(C60,BMP,2,FALSE))</f>
        <v>0</v>
      </c>
      <c r="K60" s="625">
        <f>IF(ISERROR(K59-L59),0,K59-L59)</f>
        <v>0</v>
      </c>
      <c r="L60" s="625">
        <f>IF(ISERROR(K60*J60),0,K60*J60)</f>
        <v>0</v>
      </c>
      <c r="M60" s="401"/>
      <c r="N60" s="382"/>
    </row>
    <row r="61" spans="1:25" ht="24.95" customHeight="1" x14ac:dyDescent="0.2">
      <c r="B61" s="399"/>
      <c r="C61" s="400"/>
      <c r="D61" s="1046"/>
      <c r="E61" s="1047"/>
      <c r="F61" s="1048"/>
      <c r="G61" s="1063"/>
      <c r="H61" s="1064"/>
      <c r="I61" s="1065"/>
      <c r="J61" s="378">
        <f>IF(ISERROR(VLOOKUP(C61,BMP,2,FALSE)),0,VLOOKUP(C61,BMP,2,FALSE))</f>
        <v>0</v>
      </c>
      <c r="K61" s="625">
        <f>IF(ISERROR(K60-L60),0,K60-L60)</f>
        <v>0</v>
      </c>
      <c r="L61" s="625">
        <f>IF(ISERROR(K61*J61),0,K61*J61)</f>
        <v>0</v>
      </c>
      <c r="M61" s="401"/>
      <c r="N61" s="382"/>
    </row>
    <row r="62" spans="1:25" ht="24.95" customHeight="1" x14ac:dyDescent="0.2">
      <c r="B62" s="399"/>
      <c r="C62" s="400"/>
      <c r="D62" s="1046"/>
      <c r="E62" s="1047"/>
      <c r="F62" s="1048"/>
      <c r="G62" s="1063"/>
      <c r="H62" s="1064"/>
      <c r="I62" s="1065"/>
      <c r="J62" s="378">
        <f>IF(ISERROR(VLOOKUP(C62,BMP,2,FALSE)),0,VLOOKUP(C62,BMP,2,FALSE))</f>
        <v>0</v>
      </c>
      <c r="K62" s="625">
        <f>IF(ISERROR(K61-L61),0,K61-L61)</f>
        <v>0</v>
      </c>
      <c r="L62" s="625">
        <f>IF(ISERROR(K62*J62),0,K62*J62)</f>
        <v>0</v>
      </c>
      <c r="M62" s="401"/>
      <c r="N62" s="382"/>
    </row>
    <row r="63" spans="1:25" ht="24.95" customHeight="1" x14ac:dyDescent="0.2">
      <c r="B63" s="399"/>
      <c r="C63" s="400"/>
      <c r="D63" s="1049"/>
      <c r="E63" s="1050"/>
      <c r="F63" s="1051"/>
      <c r="G63" s="1066"/>
      <c r="H63" s="1067"/>
      <c r="I63" s="1068"/>
      <c r="J63" s="378">
        <f>IF(ISERROR(VLOOKUP(C63,BMP,2,FALSE)),0,VLOOKUP(C63,BMP,2,FALSE))</f>
        <v>0</v>
      </c>
      <c r="K63" s="625">
        <f>IF(ISERROR(K62-L62),0,K62-L62)</f>
        <v>0</v>
      </c>
      <c r="L63" s="625">
        <f>IF(ISERROR(K63*J63),0,K63*J63)</f>
        <v>0</v>
      </c>
      <c r="M63" s="401"/>
      <c r="N63" s="381" t="e">
        <f>IF(G59&gt;(D59+5),"Exceeds Available Volume!","")</f>
        <v>#DIV/0!</v>
      </c>
    </row>
    <row r="64" spans="1:25" ht="24.95" customHeight="1" x14ac:dyDescent="0.2">
      <c r="B64" s="1052" t="s">
        <v>371</v>
      </c>
      <c r="C64" s="1053"/>
      <c r="D64" s="1054">
        <f>IF(J63&gt;0,K63-L63,IF(J62&gt;0,K62-L62,IF(J61&gt;0,K61-L61,IF(J60&gt;0,K60-L60,K59-L59))))</f>
        <v>0</v>
      </c>
      <c r="E64" s="1055"/>
      <c r="F64" s="1055"/>
      <c r="G64" s="1055"/>
      <c r="H64" s="1055"/>
      <c r="I64" s="1055"/>
      <c r="J64" s="1055"/>
      <c r="K64" s="1055"/>
      <c r="L64" s="1055"/>
      <c r="M64" s="1056"/>
      <c r="N64" s="382"/>
    </row>
    <row r="65" spans="1:25" s="306" customFormat="1" ht="24.95" customHeight="1" x14ac:dyDescent="0.2">
      <c r="A65" s="164"/>
      <c r="B65" s="953" t="s">
        <v>372</v>
      </c>
      <c r="C65" s="954"/>
      <c r="D65" s="954"/>
      <c r="E65" s="954"/>
      <c r="F65" s="954"/>
      <c r="G65" s="954"/>
      <c r="H65" s="954"/>
      <c r="I65" s="954"/>
      <c r="J65" s="954"/>
      <c r="K65" s="954"/>
      <c r="L65" s="954"/>
      <c r="M65" s="955"/>
      <c r="N65" s="334"/>
      <c r="O65" s="164"/>
      <c r="P65" s="164"/>
      <c r="Q65" s="164"/>
      <c r="R65" s="164"/>
      <c r="S65" s="164"/>
      <c r="T65" s="164"/>
      <c r="U65" s="164"/>
      <c r="V65" s="164"/>
      <c r="W65" s="164"/>
      <c r="X65" s="164"/>
      <c r="Y65" s="164"/>
    </row>
    <row r="66" spans="1:25" s="507" customFormat="1" ht="39.950000000000003" customHeight="1" x14ac:dyDescent="0.2">
      <c r="B66" s="1019" t="s">
        <v>373</v>
      </c>
      <c r="C66" s="1020"/>
      <c r="D66" s="1057"/>
      <c r="E66" s="1058"/>
      <c r="F66" s="1058"/>
      <c r="G66" s="1058"/>
      <c r="H66" s="1058"/>
      <c r="I66" s="1058"/>
      <c r="J66" s="1058"/>
      <c r="K66" s="1058"/>
      <c r="L66" s="1058"/>
      <c r="M66" s="1059"/>
      <c r="N66" s="382"/>
    </row>
    <row r="67" spans="1:25" s="507" customFormat="1" ht="39.950000000000003" hidden="1" customHeight="1" x14ac:dyDescent="0.2">
      <c r="B67" s="1019" t="s">
        <v>501</v>
      </c>
      <c r="C67" s="1020"/>
      <c r="D67" s="1129"/>
      <c r="E67" s="1130"/>
      <c r="F67" s="1130"/>
      <c r="G67" s="1130"/>
      <c r="H67" s="1130"/>
      <c r="I67" s="1130"/>
      <c r="J67" s="1130"/>
      <c r="K67" s="1130"/>
      <c r="L67" s="1130"/>
      <c r="M67" s="1131"/>
      <c r="N67" s="382"/>
    </row>
    <row r="68" spans="1:25" s="507" customFormat="1" ht="79.5" customHeight="1" x14ac:dyDescent="0.2">
      <c r="B68" s="374" t="s">
        <v>318</v>
      </c>
      <c r="C68" s="375" t="s">
        <v>284</v>
      </c>
      <c r="D68" s="1034" t="s">
        <v>568</v>
      </c>
      <c r="E68" s="1034"/>
      <c r="F68" s="1034"/>
      <c r="G68" s="1034" t="s">
        <v>490</v>
      </c>
      <c r="H68" s="1034"/>
      <c r="I68" s="1034"/>
      <c r="J68" s="631" t="s">
        <v>269</v>
      </c>
      <c r="K68" s="631" t="s">
        <v>491</v>
      </c>
      <c r="L68" s="631" t="s">
        <v>492</v>
      </c>
      <c r="M68" s="376" t="s">
        <v>322</v>
      </c>
      <c r="N68" s="382"/>
    </row>
    <row r="69" spans="1:25" ht="24.95" customHeight="1" x14ac:dyDescent="0.2">
      <c r="B69" s="399"/>
      <c r="C69" s="400"/>
      <c r="D69" s="1043" t="e">
        <f>IF('SITE SUMMARY'!$G$35="High",E167,"-")</f>
        <v>#DIV/0!</v>
      </c>
      <c r="E69" s="1044"/>
      <c r="F69" s="1045"/>
      <c r="G69" s="1060"/>
      <c r="H69" s="1061"/>
      <c r="I69" s="1062"/>
      <c r="J69" s="378">
        <f>IF(ISERROR(VLOOKUP(C69,BMP,2,FALSE)),0,VLOOKUP(C69,BMP,2,FALSE))</f>
        <v>0</v>
      </c>
      <c r="K69" s="625">
        <f>IF(ISERROR($I$114),D66,$I$114+D66)</f>
        <v>0</v>
      </c>
      <c r="L69" s="625">
        <f>IF(ISERROR(K69*J69),0,K69*J69)</f>
        <v>0</v>
      </c>
      <c r="M69" s="401"/>
      <c r="N69" s="382"/>
      <c r="O69" s="379"/>
      <c r="P69" s="379"/>
      <c r="Q69" s="379"/>
      <c r="R69" s="379"/>
      <c r="S69" s="379"/>
      <c r="T69" s="379"/>
    </row>
    <row r="70" spans="1:25" ht="24.95" customHeight="1" x14ac:dyDescent="0.2">
      <c r="B70" s="399"/>
      <c r="C70" s="400"/>
      <c r="D70" s="1046"/>
      <c r="E70" s="1047"/>
      <c r="F70" s="1048"/>
      <c r="G70" s="1063"/>
      <c r="H70" s="1064"/>
      <c r="I70" s="1065"/>
      <c r="J70" s="378">
        <f>IF(ISERROR(VLOOKUP(C70,BMP,2,FALSE)),0,VLOOKUP(C70,BMP,2,FALSE))</f>
        <v>0</v>
      </c>
      <c r="K70" s="625">
        <f>IF(ISERROR(K69-L69),0,K69-L69)</f>
        <v>0</v>
      </c>
      <c r="L70" s="625">
        <f>IF(ISERROR(K70*J70),0,K70*J70)</f>
        <v>0</v>
      </c>
      <c r="M70" s="401"/>
      <c r="N70" s="382"/>
    </row>
    <row r="71" spans="1:25" ht="24.95" customHeight="1" x14ac:dyDescent="0.2">
      <c r="B71" s="399"/>
      <c r="C71" s="400"/>
      <c r="D71" s="1046"/>
      <c r="E71" s="1047"/>
      <c r="F71" s="1048"/>
      <c r="G71" s="1063"/>
      <c r="H71" s="1064"/>
      <c r="I71" s="1065"/>
      <c r="J71" s="378">
        <f>IF(ISERROR(VLOOKUP(C71,BMP,2,FALSE)),0,VLOOKUP(C71,BMP,2,FALSE))</f>
        <v>0</v>
      </c>
      <c r="K71" s="625">
        <f>IF(ISERROR(K70-L70),0,K70-L70)</f>
        <v>0</v>
      </c>
      <c r="L71" s="625">
        <f>IF(ISERROR(K71*J71),0,K71*J71)</f>
        <v>0</v>
      </c>
      <c r="M71" s="401"/>
      <c r="N71" s="382"/>
    </row>
    <row r="72" spans="1:25" ht="24.95" customHeight="1" x14ac:dyDescent="0.2">
      <c r="B72" s="399"/>
      <c r="C72" s="400"/>
      <c r="D72" s="1046"/>
      <c r="E72" s="1047"/>
      <c r="F72" s="1048"/>
      <c r="G72" s="1063"/>
      <c r="H72" s="1064"/>
      <c r="I72" s="1065"/>
      <c r="J72" s="378">
        <f>IF(ISERROR(VLOOKUP(C72,BMP,2,FALSE)),0,VLOOKUP(C72,BMP,2,FALSE))</f>
        <v>0</v>
      </c>
      <c r="K72" s="625">
        <f>IF(ISERROR(K71-L71),0,K71-L71)</f>
        <v>0</v>
      </c>
      <c r="L72" s="625">
        <f>IF(ISERROR(K72*J72),0,K72*J72)</f>
        <v>0</v>
      </c>
      <c r="M72" s="401"/>
      <c r="N72" s="382"/>
    </row>
    <row r="73" spans="1:25" ht="24.95" customHeight="1" x14ac:dyDescent="0.2">
      <c r="B73" s="399"/>
      <c r="C73" s="400"/>
      <c r="D73" s="1049"/>
      <c r="E73" s="1050"/>
      <c r="F73" s="1051"/>
      <c r="G73" s="1066"/>
      <c r="H73" s="1067"/>
      <c r="I73" s="1068"/>
      <c r="J73" s="378">
        <f>IF(ISERROR(VLOOKUP(C73,BMP,2,FALSE)),0,VLOOKUP(C73,BMP,2,FALSE))</f>
        <v>0</v>
      </c>
      <c r="K73" s="625">
        <f>IF(ISERROR(K72-L72),0,K72-L72)</f>
        <v>0</v>
      </c>
      <c r="L73" s="625">
        <f>IF(ISERROR(K73*J73),0,K73*J73)</f>
        <v>0</v>
      </c>
      <c r="M73" s="401"/>
      <c r="N73" s="381" t="e">
        <f>IF(G69&gt;(D69+5),"Exceeds Available Volume!","")</f>
        <v>#DIV/0!</v>
      </c>
    </row>
    <row r="74" spans="1:25" ht="24.95" customHeight="1" x14ac:dyDescent="0.2">
      <c r="B74" s="1052" t="s">
        <v>371</v>
      </c>
      <c r="C74" s="1053"/>
      <c r="D74" s="1054">
        <f>IF(J73&gt;0,K73-L73,IF(J72&gt;0,K72-L72,IF(J71&gt;0,K71-L71,IF(J70&gt;0,K70-L70,K69-L69))))</f>
        <v>0</v>
      </c>
      <c r="E74" s="1055"/>
      <c r="F74" s="1055"/>
      <c r="G74" s="1055"/>
      <c r="H74" s="1055"/>
      <c r="I74" s="1055"/>
      <c r="J74" s="1055"/>
      <c r="K74" s="1055"/>
      <c r="L74" s="1055"/>
      <c r="M74" s="1056"/>
      <c r="N74" s="382"/>
    </row>
    <row r="75" spans="1:25" ht="24.95" customHeight="1" x14ac:dyDescent="0.2">
      <c r="B75" s="1116" t="s">
        <v>600</v>
      </c>
      <c r="C75" s="1117"/>
      <c r="D75" s="1117"/>
      <c r="E75" s="1117"/>
      <c r="F75" s="1117"/>
      <c r="G75" s="1117"/>
      <c r="H75" s="1117"/>
      <c r="I75" s="1117"/>
      <c r="J75" s="1117"/>
      <c r="K75" s="1117"/>
      <c r="L75" s="1117"/>
      <c r="M75" s="1118"/>
      <c r="N75" s="1132" t="s">
        <v>422</v>
      </c>
    </row>
    <row r="76" spans="1:25" ht="24.95" customHeight="1" x14ac:dyDescent="0.2">
      <c r="B76" s="1110" t="s">
        <v>493</v>
      </c>
      <c r="C76" s="1111"/>
      <c r="D76" s="1112">
        <f>G29+G39+G49+G59+G69</f>
        <v>0</v>
      </c>
      <c r="E76" s="1113"/>
      <c r="F76" s="1113"/>
      <c r="G76" s="1113"/>
      <c r="H76" s="1113"/>
      <c r="I76" s="1113"/>
      <c r="J76" s="1113"/>
      <c r="K76" s="1113"/>
      <c r="L76" s="1113"/>
      <c r="M76" s="1114"/>
      <c r="N76" s="1132"/>
    </row>
    <row r="77" spans="1:25" ht="24.95" customHeight="1" x14ac:dyDescent="0.2">
      <c r="B77" s="1069" t="s">
        <v>338</v>
      </c>
      <c r="C77" s="884"/>
      <c r="D77" s="1070">
        <f>SUM(L29:L33,L39:L43,L49:L53,L59:L63,L69:L73)</f>
        <v>0</v>
      </c>
      <c r="E77" s="1070"/>
      <c r="F77" s="1070"/>
      <c r="G77" s="1070"/>
      <c r="H77" s="1070"/>
      <c r="I77" s="1070"/>
      <c r="J77" s="1070"/>
      <c r="K77" s="1070"/>
      <c r="L77" s="1070"/>
      <c r="M77" s="1071"/>
      <c r="N77" s="1132"/>
    </row>
    <row r="78" spans="1:25" ht="24.95" customHeight="1" x14ac:dyDescent="0.2">
      <c r="B78" s="1099" t="s">
        <v>337</v>
      </c>
      <c r="C78" s="1100"/>
      <c r="D78" s="1100"/>
      <c r="E78" s="1100"/>
      <c r="F78" s="1100"/>
      <c r="G78" s="1100"/>
      <c r="H78" s="1100"/>
      <c r="I78" s="1100"/>
      <c r="J78" s="1100"/>
      <c r="K78" s="1100"/>
      <c r="L78" s="1100"/>
      <c r="M78" s="1101"/>
      <c r="N78" s="1132"/>
    </row>
    <row r="79" spans="1:25" ht="24.95" customHeight="1" x14ac:dyDescent="0.2">
      <c r="B79" s="883" t="s">
        <v>465</v>
      </c>
      <c r="C79" s="884"/>
      <c r="D79" s="1072">
        <f>IF(('DA2'!H83-D76)&lt;0,0,'DA2'!H83-D76)</f>
        <v>0</v>
      </c>
      <c r="E79" s="1072"/>
      <c r="F79" s="1072"/>
      <c r="G79" s="1072"/>
      <c r="H79" s="1072"/>
      <c r="I79" s="1072"/>
      <c r="J79" s="1072"/>
      <c r="K79" s="1072"/>
      <c r="L79" s="1072"/>
      <c r="M79" s="1073"/>
      <c r="N79" s="1132"/>
    </row>
    <row r="80" spans="1:25" ht="24.95" customHeight="1" x14ac:dyDescent="0.2">
      <c r="B80" s="1069" t="s">
        <v>413</v>
      </c>
      <c r="C80" s="884"/>
      <c r="D80" s="1074" t="e">
        <f>((((D79)/(C9*43560)))*12)</f>
        <v>#VALUE!</v>
      </c>
      <c r="E80" s="1074"/>
      <c r="F80" s="1074"/>
      <c r="G80" s="1074"/>
      <c r="H80" s="1074"/>
      <c r="I80" s="1074"/>
      <c r="J80" s="1074"/>
      <c r="K80" s="1074"/>
      <c r="L80" s="1074"/>
      <c r="M80" s="1075"/>
      <c r="N80" s="1132"/>
    </row>
    <row r="81" spans="1:14" ht="24.95" customHeight="1" x14ac:dyDescent="0.2">
      <c r="B81" s="1069" t="s">
        <v>409</v>
      </c>
      <c r="C81" s="884"/>
      <c r="D81" s="1076">
        <f>IF(ISERROR(VLOOKUP($D$80,CN,2,TRUE)),0,VLOOKUP($D$80,CN,2,TRUE))</f>
        <v>0</v>
      </c>
      <c r="E81" s="1076"/>
      <c r="F81" s="1076"/>
      <c r="G81" s="1076"/>
      <c r="H81" s="1076"/>
      <c r="I81" s="1076"/>
      <c r="J81" s="1076"/>
      <c r="K81" s="1076"/>
      <c r="L81" s="1076"/>
      <c r="M81" s="1077"/>
      <c r="N81" s="1132"/>
    </row>
    <row r="82" spans="1:14" ht="33.75" customHeight="1" x14ac:dyDescent="0.2">
      <c r="B82" s="1069" t="s">
        <v>353</v>
      </c>
      <c r="C82" s="884"/>
      <c r="D82" s="1102"/>
      <c r="E82" s="1103"/>
      <c r="F82" s="1103"/>
      <c r="G82" s="1103"/>
      <c r="H82" s="1103"/>
      <c r="I82" s="1103"/>
      <c r="J82" s="1103"/>
      <c r="K82" s="1103"/>
      <c r="L82" s="1103"/>
      <c r="M82" s="1104"/>
      <c r="N82" s="1132"/>
    </row>
    <row r="83" spans="1:14" ht="24.95" customHeight="1" x14ac:dyDescent="0.2">
      <c r="B83" s="1099" t="s">
        <v>374</v>
      </c>
      <c r="C83" s="1100"/>
      <c r="D83" s="1100"/>
      <c r="E83" s="1100"/>
      <c r="F83" s="1100"/>
      <c r="G83" s="1100"/>
      <c r="H83" s="1100"/>
      <c r="I83" s="1100"/>
      <c r="J83" s="1100"/>
      <c r="K83" s="1100"/>
      <c r="L83" s="1100"/>
      <c r="M83" s="1101"/>
      <c r="N83" s="1132"/>
    </row>
    <row r="84" spans="1:14" ht="24.95" customHeight="1" x14ac:dyDescent="0.2">
      <c r="B84" s="883" t="s">
        <v>416</v>
      </c>
      <c r="C84" s="884"/>
      <c r="D84" s="1072" t="e">
        <f>IF(('DA2'!H88-D76)&lt;0,0,'DA2'!H88-D76)</f>
        <v>#VALUE!</v>
      </c>
      <c r="E84" s="1072"/>
      <c r="F84" s="1072"/>
      <c r="G84" s="1072"/>
      <c r="H84" s="1072"/>
      <c r="I84" s="1072"/>
      <c r="J84" s="1072"/>
      <c r="K84" s="1072"/>
      <c r="L84" s="1072"/>
      <c r="M84" s="1073"/>
      <c r="N84" s="1132"/>
    </row>
    <row r="85" spans="1:14" ht="24.95" customHeight="1" x14ac:dyDescent="0.2">
      <c r="B85" s="1105" t="s">
        <v>411</v>
      </c>
      <c r="C85" s="1106"/>
      <c r="D85" s="1074" t="e">
        <f>((D84/(C9*43560)))*12</f>
        <v>#VALUE!</v>
      </c>
      <c r="E85" s="1074"/>
      <c r="F85" s="1074"/>
      <c r="G85" s="1074"/>
      <c r="H85" s="1074"/>
      <c r="I85" s="1074"/>
      <c r="J85" s="1074"/>
      <c r="K85" s="1074"/>
      <c r="L85" s="1074"/>
      <c r="M85" s="1075"/>
      <c r="N85" s="1132"/>
    </row>
    <row r="86" spans="1:14" ht="24.95" customHeight="1" x14ac:dyDescent="0.2">
      <c r="B86" s="1069" t="s">
        <v>431</v>
      </c>
      <c r="C86" s="884"/>
      <c r="D86" s="1076">
        <f>IF(ISERROR(VLOOKUP(D85,CN2YR,2,TRUE)),0,VLOOKUP(D85,CN2YR,2,TRUE))</f>
        <v>0</v>
      </c>
      <c r="E86" s="1076"/>
      <c r="F86" s="1076"/>
      <c r="G86" s="1076"/>
      <c r="H86" s="1076"/>
      <c r="I86" s="1076"/>
      <c r="J86" s="1076"/>
      <c r="K86" s="1076"/>
      <c r="L86" s="1076"/>
      <c r="M86" s="1077"/>
      <c r="N86" s="1132"/>
    </row>
    <row r="87" spans="1:14" ht="33.75" customHeight="1" x14ac:dyDescent="0.2">
      <c r="B87" s="1069" t="s">
        <v>410</v>
      </c>
      <c r="C87" s="884"/>
      <c r="D87" s="1102"/>
      <c r="E87" s="1103"/>
      <c r="F87" s="1103"/>
      <c r="G87" s="1103"/>
      <c r="H87" s="1103"/>
      <c r="I87" s="1103"/>
      <c r="J87" s="1103"/>
      <c r="K87" s="1103"/>
      <c r="L87" s="1103"/>
      <c r="M87" s="1104"/>
      <c r="N87" s="1132"/>
    </row>
    <row r="88" spans="1:14" ht="24.95" customHeight="1" x14ac:dyDescent="0.2">
      <c r="B88" s="1099" t="s">
        <v>376</v>
      </c>
      <c r="C88" s="1100"/>
      <c r="D88" s="1100"/>
      <c r="E88" s="1100"/>
      <c r="F88" s="1100"/>
      <c r="G88" s="1100"/>
      <c r="H88" s="1100"/>
      <c r="I88" s="1100"/>
      <c r="J88" s="1100"/>
      <c r="K88" s="1100"/>
      <c r="L88" s="1100"/>
      <c r="M88" s="1101"/>
      <c r="N88" s="1132"/>
    </row>
    <row r="89" spans="1:14" s="169" customFormat="1" ht="24.95" hidden="1" customHeight="1" x14ac:dyDescent="0.2">
      <c r="A89" s="216"/>
      <c r="B89" s="1097" t="s">
        <v>417</v>
      </c>
      <c r="C89" s="1098"/>
      <c r="D89" s="1078" t="e">
        <f>('DA2'!H91/12)*('DA2'!H10*43560)</f>
        <v>#VALUE!</v>
      </c>
      <c r="E89" s="1079"/>
      <c r="F89" s="1079"/>
      <c r="G89" s="1079"/>
      <c r="H89" s="1079"/>
      <c r="I89" s="1079"/>
      <c r="J89" s="1079"/>
      <c r="K89" s="1079"/>
      <c r="L89" s="1079"/>
      <c r="M89" s="1080"/>
      <c r="N89" s="1132"/>
    </row>
    <row r="90" spans="1:14" ht="24.95" customHeight="1" x14ac:dyDescent="0.2">
      <c r="B90" s="883" t="s">
        <v>466</v>
      </c>
      <c r="C90" s="884"/>
      <c r="D90" s="1072" t="e">
        <f>IF(('DA2'!H92-D76)&lt;0,0,'DA2'!H92-D76)</f>
        <v>#VALUE!</v>
      </c>
      <c r="E90" s="1072"/>
      <c r="F90" s="1072"/>
      <c r="G90" s="1072"/>
      <c r="H90" s="1072"/>
      <c r="I90" s="1072"/>
      <c r="J90" s="1072"/>
      <c r="K90" s="1072"/>
      <c r="L90" s="1072"/>
      <c r="M90" s="1073"/>
      <c r="N90" s="1132"/>
    </row>
    <row r="91" spans="1:14" ht="24.95" customHeight="1" x14ac:dyDescent="0.2">
      <c r="B91" s="1069" t="s">
        <v>432</v>
      </c>
      <c r="C91" s="884"/>
      <c r="D91" s="1074" t="e">
        <f>((D90/(C9*43560)))*12</f>
        <v>#VALUE!</v>
      </c>
      <c r="E91" s="1074"/>
      <c r="F91" s="1074"/>
      <c r="G91" s="1074"/>
      <c r="H91" s="1074"/>
      <c r="I91" s="1074"/>
      <c r="J91" s="1074"/>
      <c r="K91" s="1074"/>
      <c r="L91" s="1074"/>
      <c r="M91" s="1075"/>
      <c r="N91" s="1132"/>
    </row>
    <row r="92" spans="1:14" ht="24.95" customHeight="1" x14ac:dyDescent="0.2">
      <c r="B92" s="1105" t="s">
        <v>433</v>
      </c>
      <c r="C92" s="1106"/>
      <c r="D92" s="1076">
        <f>IF(ISERROR(VLOOKUP(D91,CN2YR,2,TRUE)),0,VLOOKUP(D91,CN2YR,2,TRUE))</f>
        <v>0</v>
      </c>
      <c r="E92" s="1076"/>
      <c r="F92" s="1076"/>
      <c r="G92" s="1076"/>
      <c r="H92" s="1076"/>
      <c r="I92" s="1076"/>
      <c r="J92" s="1076"/>
      <c r="K92" s="1076"/>
      <c r="L92" s="1076"/>
      <c r="M92" s="1077"/>
      <c r="N92" s="1132"/>
    </row>
    <row r="93" spans="1:14" ht="33.75" customHeight="1" thickBot="1" x14ac:dyDescent="0.25">
      <c r="B93" s="1021" t="s">
        <v>412</v>
      </c>
      <c r="C93" s="1022"/>
      <c r="D93" s="1023"/>
      <c r="E93" s="1024"/>
      <c r="F93" s="1024"/>
      <c r="G93" s="1024"/>
      <c r="H93" s="1024"/>
      <c r="I93" s="1024"/>
      <c r="J93" s="1024"/>
      <c r="K93" s="1024"/>
      <c r="L93" s="1024"/>
      <c r="M93" s="1025"/>
      <c r="N93" s="1132"/>
    </row>
    <row r="94" spans="1:14" s="507" customFormat="1" x14ac:dyDescent="0.2">
      <c r="K94" s="573"/>
    </row>
    <row r="95" spans="1:14" s="507" customFormat="1" hidden="1" x14ac:dyDescent="0.2">
      <c r="K95" s="573"/>
    </row>
    <row r="96" spans="1:14" s="507" customFormat="1" hidden="1" x14ac:dyDescent="0.2">
      <c r="K96" s="573"/>
    </row>
    <row r="97" spans="1:25" s="507" customFormat="1" hidden="1" x14ac:dyDescent="0.2">
      <c r="K97" s="573"/>
    </row>
    <row r="98" spans="1:25" s="507" customFormat="1" hidden="1" x14ac:dyDescent="0.2">
      <c r="K98" s="573"/>
      <c r="N98" s="344"/>
    </row>
    <row r="99" spans="1:25" s="383" customFormat="1" ht="15.75" hidden="1" x14ac:dyDescent="0.25">
      <c r="A99" s="508"/>
      <c r="B99" s="313" t="s">
        <v>126</v>
      </c>
      <c r="K99" s="449"/>
    </row>
    <row r="100" spans="1:25" hidden="1" x14ac:dyDescent="0.2">
      <c r="B100" s="507"/>
      <c r="C100" s="507"/>
      <c r="D100" s="507"/>
      <c r="E100" s="507"/>
      <c r="F100" s="507"/>
      <c r="G100" s="507"/>
      <c r="H100" s="507"/>
      <c r="I100" s="507"/>
      <c r="J100" s="507"/>
      <c r="K100" s="573"/>
      <c r="L100" s="507"/>
      <c r="M100" s="507"/>
      <c r="N100" s="347"/>
    </row>
    <row r="101" spans="1:25" hidden="1" x14ac:dyDescent="0.2">
      <c r="B101" s="507"/>
      <c r="C101" s="507"/>
      <c r="D101" s="507"/>
      <c r="E101" s="507"/>
      <c r="F101" s="507"/>
      <c r="G101" s="507"/>
      <c r="H101" s="507"/>
      <c r="I101" s="507"/>
      <c r="J101" s="507"/>
      <c r="K101" s="573"/>
      <c r="L101" s="507"/>
      <c r="M101" s="507"/>
      <c r="N101" s="347"/>
    </row>
    <row r="102" spans="1:25" ht="18" hidden="1" x14ac:dyDescent="0.25">
      <c r="B102" s="384" t="s">
        <v>276</v>
      </c>
      <c r="C102" s="384"/>
      <c r="D102" s="384"/>
      <c r="E102" s="384"/>
      <c r="F102" s="384"/>
      <c r="G102" s="384"/>
      <c r="H102" s="384"/>
      <c r="I102" s="384"/>
      <c r="J102" s="384"/>
      <c r="K102" s="384"/>
      <c r="L102" s="384"/>
      <c r="M102" s="384"/>
      <c r="N102" s="347"/>
    </row>
    <row r="103" spans="1:25" hidden="1" x14ac:dyDescent="0.2">
      <c r="B103" s="507"/>
      <c r="C103" s="507"/>
      <c r="D103" s="507"/>
      <c r="E103" s="507"/>
      <c r="F103" s="507"/>
      <c r="G103" s="507"/>
      <c r="H103" s="507"/>
      <c r="I103" s="507"/>
      <c r="J103" s="507"/>
      <c r="K103" s="573"/>
      <c r="L103" s="507"/>
      <c r="M103" s="507"/>
      <c r="N103" s="347"/>
    </row>
    <row r="104" spans="1:25" ht="47.25" hidden="1" x14ac:dyDescent="0.2">
      <c r="B104" s="385" t="s">
        <v>273</v>
      </c>
      <c r="C104" s="386"/>
      <c r="D104" s="579" t="s">
        <v>553</v>
      </c>
      <c r="E104" s="580" t="s">
        <v>601</v>
      </c>
      <c r="F104" s="580" t="s">
        <v>602</v>
      </c>
      <c r="G104" s="580" t="s">
        <v>603</v>
      </c>
      <c r="H104" s="591" t="s">
        <v>604</v>
      </c>
      <c r="I104" s="591" t="s">
        <v>605</v>
      </c>
      <c r="J104" s="507"/>
      <c r="K104" s="507"/>
      <c r="L104" s="609"/>
      <c r="M104" s="507"/>
      <c r="N104" s="507"/>
      <c r="X104" s="161"/>
      <c r="Y104" s="161"/>
    </row>
    <row r="105" spans="1:25" hidden="1" x14ac:dyDescent="0.2">
      <c r="B105" s="592" t="s">
        <v>12</v>
      </c>
      <c r="C105" s="387"/>
      <c r="D105" s="578">
        <v>1.2</v>
      </c>
      <c r="E105" s="388">
        <f>(SUM(D17:E17))*$D$105</f>
        <v>0</v>
      </c>
      <c r="F105" s="388">
        <f t="shared" ref="F105:F112" si="1">(SUM(F17:G17))*D105</f>
        <v>0</v>
      </c>
      <c r="G105" s="388">
        <f t="shared" ref="G105:G112" si="2">(SUM(H17:I17))*D105</f>
        <v>0</v>
      </c>
      <c r="H105" s="388">
        <f t="shared" ref="H105:H112" si="3">(SUM(J17:K17))*D105</f>
        <v>0</v>
      </c>
      <c r="I105" s="388">
        <f t="shared" ref="I105:I112" si="4">(SUM(L17:M17))*D105</f>
        <v>0</v>
      </c>
      <c r="J105" s="507"/>
      <c r="K105" s="507"/>
      <c r="L105" s="611" t="s">
        <v>515</v>
      </c>
      <c r="M105" s="507"/>
      <c r="N105" s="507"/>
      <c r="X105" s="161"/>
      <c r="Y105" s="161"/>
    </row>
    <row r="106" spans="1:25" hidden="1" x14ac:dyDescent="0.2">
      <c r="B106" s="592" t="s">
        <v>253</v>
      </c>
      <c r="C106" s="387"/>
      <c r="D106" s="578">
        <v>1.6</v>
      </c>
      <c r="E106" s="388">
        <f>(SUM(D18:E18))*$D$106</f>
        <v>0</v>
      </c>
      <c r="F106" s="388">
        <f t="shared" si="1"/>
        <v>0</v>
      </c>
      <c r="G106" s="388">
        <f t="shared" si="2"/>
        <v>0</v>
      </c>
      <c r="H106" s="388">
        <f t="shared" si="3"/>
        <v>0</v>
      </c>
      <c r="I106" s="388">
        <f t="shared" si="4"/>
        <v>0</v>
      </c>
      <c r="J106" s="507"/>
      <c r="K106" s="507"/>
      <c r="L106" s="610" t="s">
        <v>516</v>
      </c>
      <c r="M106" s="507"/>
      <c r="N106" s="507"/>
      <c r="X106" s="161"/>
      <c r="Y106" s="161"/>
    </row>
    <row r="107" spans="1:25" hidden="1" x14ac:dyDescent="0.2">
      <c r="B107" s="592" t="s">
        <v>258</v>
      </c>
      <c r="C107" s="387"/>
      <c r="D107" s="578">
        <v>1.2</v>
      </c>
      <c r="E107" s="388">
        <f>(SUM(D19:E19))*$D$107</f>
        <v>0</v>
      </c>
      <c r="F107" s="388">
        <f t="shared" si="1"/>
        <v>0</v>
      </c>
      <c r="G107" s="388">
        <f t="shared" si="2"/>
        <v>0</v>
      </c>
      <c r="H107" s="388">
        <f t="shared" si="3"/>
        <v>0</v>
      </c>
      <c r="I107" s="388">
        <f t="shared" si="4"/>
        <v>0</v>
      </c>
      <c r="J107" s="507"/>
      <c r="K107" s="507"/>
      <c r="L107" s="610"/>
      <c r="M107" s="507"/>
      <c r="N107" s="507"/>
      <c r="X107" s="161"/>
      <c r="Y107" s="161"/>
    </row>
    <row r="108" spans="1:25" hidden="1" x14ac:dyDescent="0.2">
      <c r="B108" s="592" t="s">
        <v>254</v>
      </c>
      <c r="C108" s="387"/>
      <c r="D108" s="578">
        <v>0.8</v>
      </c>
      <c r="E108" s="388">
        <f>(SUM(D20:E20))*$D$108</f>
        <v>0</v>
      </c>
      <c r="F108" s="388">
        <f t="shared" si="1"/>
        <v>0</v>
      </c>
      <c r="G108" s="388">
        <f t="shared" si="2"/>
        <v>0</v>
      </c>
      <c r="H108" s="388">
        <f t="shared" si="3"/>
        <v>0</v>
      </c>
      <c r="I108" s="388">
        <f t="shared" si="4"/>
        <v>0</v>
      </c>
      <c r="J108" s="507"/>
      <c r="K108" s="507"/>
      <c r="L108" s="523"/>
      <c r="M108" s="507"/>
      <c r="N108" s="507"/>
      <c r="X108" s="161"/>
      <c r="Y108" s="161"/>
    </row>
    <row r="109" spans="1:25" hidden="1" x14ac:dyDescent="0.2">
      <c r="B109" s="592" t="s">
        <v>255</v>
      </c>
      <c r="C109" s="387"/>
      <c r="D109" s="389">
        <v>1</v>
      </c>
      <c r="E109" s="388">
        <f>(SUM(D21:E21))*$D$109</f>
        <v>0</v>
      </c>
      <c r="F109" s="388">
        <f t="shared" si="1"/>
        <v>0</v>
      </c>
      <c r="G109" s="388">
        <f t="shared" si="2"/>
        <v>0</v>
      </c>
      <c r="H109" s="388">
        <f t="shared" si="3"/>
        <v>0</v>
      </c>
      <c r="I109" s="388">
        <f t="shared" si="4"/>
        <v>0</v>
      </c>
      <c r="J109" s="507"/>
      <c r="K109" s="507"/>
      <c r="L109" s="523"/>
      <c r="M109" s="507"/>
      <c r="N109" s="507"/>
      <c r="X109" s="161"/>
      <c r="Y109" s="161"/>
    </row>
    <row r="110" spans="1:25" hidden="1" x14ac:dyDescent="0.2">
      <c r="B110" s="592" t="s">
        <v>256</v>
      </c>
      <c r="C110" s="387"/>
      <c r="D110" s="578">
        <v>0.8</v>
      </c>
      <c r="E110" s="388">
        <f>(SUM(D22:E22))*$D$110</f>
        <v>0</v>
      </c>
      <c r="F110" s="388">
        <f t="shared" si="1"/>
        <v>0</v>
      </c>
      <c r="G110" s="388">
        <f t="shared" si="2"/>
        <v>0</v>
      </c>
      <c r="H110" s="388">
        <f t="shared" si="3"/>
        <v>0</v>
      </c>
      <c r="I110" s="388">
        <f t="shared" si="4"/>
        <v>0</v>
      </c>
      <c r="J110" s="507"/>
      <c r="K110" s="507"/>
      <c r="L110" s="523"/>
      <c r="M110" s="507"/>
      <c r="N110" s="507"/>
      <c r="X110" s="161"/>
      <c r="Y110" s="161"/>
    </row>
    <row r="111" spans="1:25" hidden="1" x14ac:dyDescent="0.2">
      <c r="B111" s="592" t="s">
        <v>257</v>
      </c>
      <c r="C111" s="387"/>
      <c r="D111" s="578">
        <v>0.6</v>
      </c>
      <c r="E111" s="388">
        <f>(SUM(D23:E23))*$D$111</f>
        <v>0</v>
      </c>
      <c r="F111" s="388">
        <f t="shared" si="1"/>
        <v>0</v>
      </c>
      <c r="G111" s="388">
        <f t="shared" si="2"/>
        <v>0</v>
      </c>
      <c r="H111" s="388">
        <f t="shared" si="3"/>
        <v>0</v>
      </c>
      <c r="I111" s="388">
        <f t="shared" si="4"/>
        <v>0</v>
      </c>
      <c r="J111" s="507"/>
      <c r="K111" s="507"/>
      <c r="L111" s="523"/>
      <c r="M111" s="507"/>
      <c r="N111" s="507"/>
      <c r="X111" s="161"/>
      <c r="Y111" s="161"/>
    </row>
    <row r="112" spans="1:25" hidden="1" x14ac:dyDescent="0.2">
      <c r="B112" s="592" t="s">
        <v>245</v>
      </c>
      <c r="C112" s="387"/>
      <c r="D112" s="578">
        <v>0.6</v>
      </c>
      <c r="E112" s="388">
        <f>(SUM(D24:E24))*$D$112</f>
        <v>0</v>
      </c>
      <c r="F112" s="388">
        <f t="shared" si="1"/>
        <v>0</v>
      </c>
      <c r="G112" s="388">
        <f t="shared" si="2"/>
        <v>0</v>
      </c>
      <c r="H112" s="388">
        <f t="shared" si="3"/>
        <v>0</v>
      </c>
      <c r="I112" s="388">
        <f t="shared" si="4"/>
        <v>0</v>
      </c>
      <c r="J112" s="507"/>
      <c r="K112" s="507"/>
      <c r="L112" s="523"/>
      <c r="M112" s="507"/>
      <c r="N112" s="507"/>
      <c r="X112" s="161"/>
      <c r="Y112" s="161"/>
    </row>
    <row r="113" spans="2:25" ht="15.75" hidden="1" thickBot="1" x14ac:dyDescent="0.25">
      <c r="B113" s="592" t="s">
        <v>44</v>
      </c>
      <c r="C113" s="387"/>
      <c r="D113" s="578">
        <v>21.2</v>
      </c>
      <c r="E113" s="388">
        <f>SUM(D25:E25)*$D$113</f>
        <v>0</v>
      </c>
      <c r="F113" s="388">
        <f>SUM(F25:G25)*D113</f>
        <v>0</v>
      </c>
      <c r="G113" s="388">
        <f>SUM(H25:I25)*D113</f>
        <v>0</v>
      </c>
      <c r="H113" s="388">
        <f>SUM(J25:K25)*D113</f>
        <v>0</v>
      </c>
      <c r="I113" s="388">
        <f>SUM(L25:M25)*D113</f>
        <v>0</v>
      </c>
      <c r="J113" s="507"/>
      <c r="K113" s="507"/>
      <c r="L113" s="523"/>
      <c r="M113" s="507"/>
      <c r="N113" s="507"/>
      <c r="X113" s="161"/>
      <c r="Y113" s="161"/>
    </row>
    <row r="114" spans="2:25" ht="15.75" hidden="1" thickBot="1" x14ac:dyDescent="0.25">
      <c r="B114" s="507"/>
      <c r="C114" s="507"/>
      <c r="D114" s="390" t="s">
        <v>283</v>
      </c>
      <c r="E114" s="558">
        <f>SUM(E105:E113)</f>
        <v>0</v>
      </c>
      <c r="F114" s="558">
        <f t="shared" ref="F114:I114" si="5">SUM(F105:F113)</f>
        <v>0</v>
      </c>
      <c r="G114" s="558">
        <f t="shared" si="5"/>
        <v>0</v>
      </c>
      <c r="H114" s="558">
        <f t="shared" si="5"/>
        <v>0</v>
      </c>
      <c r="I114" s="558">
        <f t="shared" si="5"/>
        <v>0</v>
      </c>
      <c r="J114" s="507"/>
      <c r="K114" s="507"/>
      <c r="L114" s="523"/>
      <c r="M114" s="507"/>
      <c r="N114" s="507"/>
      <c r="X114" s="161"/>
      <c r="Y114" s="161"/>
    </row>
    <row r="115" spans="2:25" hidden="1" x14ac:dyDescent="0.2">
      <c r="B115" s="507"/>
      <c r="C115" s="507"/>
      <c r="D115" s="507"/>
      <c r="E115" s="507"/>
      <c r="F115" s="507"/>
      <c r="G115" s="507"/>
      <c r="H115" s="507"/>
      <c r="I115" s="507"/>
      <c r="J115" s="507"/>
      <c r="K115" s="573"/>
      <c r="L115" s="507"/>
      <c r="M115" s="507"/>
      <c r="N115" s="523"/>
    </row>
    <row r="116" spans="2:25" hidden="1" x14ac:dyDescent="0.2">
      <c r="B116" s="507"/>
      <c r="C116" s="507"/>
      <c r="D116" s="507"/>
      <c r="E116" s="507"/>
      <c r="F116" s="507"/>
      <c r="G116" s="507"/>
      <c r="H116" s="507"/>
      <c r="I116" s="507"/>
      <c r="J116" s="507"/>
      <c r="K116" s="573"/>
      <c r="L116" s="507"/>
      <c r="M116" s="507"/>
      <c r="N116" s="507"/>
    </row>
    <row r="117" spans="2:25" hidden="1" x14ac:dyDescent="0.2">
      <c r="B117" s="507"/>
      <c r="C117" s="507"/>
      <c r="D117" s="507"/>
      <c r="E117" s="507"/>
      <c r="F117" s="507"/>
      <c r="G117" s="507"/>
      <c r="H117" s="507"/>
      <c r="I117" s="507"/>
      <c r="J117" s="507"/>
      <c r="K117" s="573"/>
      <c r="L117" s="507"/>
      <c r="M117" s="507"/>
      <c r="N117" s="507"/>
    </row>
    <row r="118" spans="2:25" hidden="1" x14ac:dyDescent="0.2">
      <c r="B118" s="507"/>
      <c r="C118" s="507"/>
      <c r="D118" s="507"/>
      <c r="E118" s="507"/>
      <c r="F118" s="507"/>
      <c r="G118" s="1096" t="s">
        <v>418</v>
      </c>
      <c r="H118" s="1096"/>
      <c r="I118" s="1096"/>
      <c r="J118" s="1096"/>
      <c r="K118" s="1096"/>
      <c r="L118" s="1096"/>
      <c r="M118" s="1096"/>
    </row>
    <row r="119" spans="2:25" ht="15.75" hidden="1" thickBot="1" x14ac:dyDescent="0.25">
      <c r="B119" s="507"/>
      <c r="C119" s="507"/>
      <c r="D119" s="507"/>
      <c r="E119" s="507"/>
      <c r="F119" s="507"/>
      <c r="G119" s="1096"/>
      <c r="H119" s="1096"/>
      <c r="I119" s="1096"/>
      <c r="J119" s="1096"/>
      <c r="K119" s="1096"/>
      <c r="L119" s="1096"/>
      <c r="M119" s="1096"/>
    </row>
    <row r="120" spans="2:25" ht="48" hidden="1" x14ac:dyDescent="0.2">
      <c r="B120" s="605" t="s">
        <v>215</v>
      </c>
      <c r="C120" s="606"/>
      <c r="D120" s="606"/>
      <c r="E120" s="607"/>
      <c r="F120" s="507"/>
      <c r="G120" s="586" t="s">
        <v>323</v>
      </c>
      <c r="H120" s="392" t="s">
        <v>419</v>
      </c>
      <c r="I120" s="288" t="s">
        <v>175</v>
      </c>
      <c r="J120" s="392" t="s">
        <v>420</v>
      </c>
      <c r="K120" s="288" t="s">
        <v>175</v>
      </c>
      <c r="L120" s="392" t="s">
        <v>421</v>
      </c>
      <c r="M120" s="288" t="s">
        <v>175</v>
      </c>
    </row>
    <row r="121" spans="2:25" hidden="1" x14ac:dyDescent="0.2">
      <c r="B121" s="599" t="s">
        <v>207</v>
      </c>
      <c r="C121" s="586" t="s">
        <v>217</v>
      </c>
      <c r="D121" s="898" t="s">
        <v>54</v>
      </c>
      <c r="E121" s="902"/>
      <c r="F121" s="507"/>
      <c r="G121" s="393">
        <f>(1000/I121)-10</f>
        <v>16.315789473684209</v>
      </c>
      <c r="H121" s="394">
        <f>('SITE DATA'!$F$26-(0.2*G121))^2/('SITE DATA'!$F$26+(0.8*G121))</f>
        <v>0.8157894736842104</v>
      </c>
      <c r="I121" s="395">
        <v>38</v>
      </c>
      <c r="J121" s="394">
        <f>('SITE DATA'!$F$27-(0.2*G121))^2/('SITE DATA'!$F$27+(0.8*G121))</f>
        <v>0.8157894736842104</v>
      </c>
      <c r="K121" s="395">
        <v>38</v>
      </c>
      <c r="L121" s="394">
        <f>('SITE DATA'!$F$28-(0.2*G121))^2/('SITE DATA'!$F$28+(0.8*G121))</f>
        <v>0.8157894736842104</v>
      </c>
      <c r="M121" s="395">
        <v>38</v>
      </c>
    </row>
    <row r="122" spans="2:25" hidden="1" x14ac:dyDescent="0.2">
      <c r="B122" s="600" t="s">
        <v>521</v>
      </c>
      <c r="C122" s="598">
        <v>0.35</v>
      </c>
      <c r="D122" s="1094">
        <v>0.85</v>
      </c>
      <c r="E122" s="1095"/>
      <c r="F122" s="507"/>
      <c r="G122" s="393">
        <f>(1000/I122)-10</f>
        <v>15.641025641025642</v>
      </c>
      <c r="H122" s="394">
        <f>('SITE DATA'!$F$26-(0.2*G122))^2/('SITE DATA'!$F$26+(0.8*G122))</f>
        <v>0.78205128205128227</v>
      </c>
      <c r="I122" s="395">
        <v>39</v>
      </c>
      <c r="J122" s="394">
        <f>('SITE DATA'!$F$27-(0.2*G122))^2/('SITE DATA'!$F$27+(0.8*G122))</f>
        <v>0.78205128205128227</v>
      </c>
      <c r="K122" s="395">
        <v>39</v>
      </c>
      <c r="L122" s="394">
        <f>('SITE DATA'!$F$28-(0.2*G122))^2/('SITE DATA'!$F$28+(0.8*G122))</f>
        <v>0.78205128205128227</v>
      </c>
      <c r="M122" s="395">
        <v>39</v>
      </c>
    </row>
    <row r="123" spans="2:25" hidden="1" x14ac:dyDescent="0.2">
      <c r="B123" s="600" t="s">
        <v>520</v>
      </c>
      <c r="C123" s="598">
        <v>0.4</v>
      </c>
      <c r="D123" s="1094">
        <v>0.85</v>
      </c>
      <c r="E123" s="1095"/>
      <c r="F123" s="507"/>
      <c r="G123" s="393">
        <f>(1000/I123)-10</f>
        <v>15</v>
      </c>
      <c r="H123" s="394">
        <f>('SITE DATA'!$F$26-(0.2*G123))^2/('SITE DATA'!$F$26+(0.8*G123))</f>
        <v>0.75</v>
      </c>
      <c r="I123" s="395">
        <v>40</v>
      </c>
      <c r="J123" s="394">
        <f>('SITE DATA'!$F$27-(0.2*G123))^2/('SITE DATA'!$F$27+(0.8*G123))</f>
        <v>0.75</v>
      </c>
      <c r="K123" s="395">
        <v>40</v>
      </c>
      <c r="L123" s="394">
        <f>('SITE DATA'!$F$28-(0.2*G123))^2/('SITE DATA'!$F$28+(0.8*G123))</f>
        <v>0.75</v>
      </c>
      <c r="M123" s="395">
        <v>40</v>
      </c>
    </row>
    <row r="124" spans="2:25" hidden="1" x14ac:dyDescent="0.2">
      <c r="B124" s="601" t="s">
        <v>208</v>
      </c>
      <c r="C124" s="598">
        <v>0.4</v>
      </c>
      <c r="D124" s="1094">
        <v>0.85</v>
      </c>
      <c r="E124" s="1095"/>
      <c r="F124" s="507"/>
      <c r="G124" s="393">
        <f>(1000/I124)-10</f>
        <v>14.390243902439025</v>
      </c>
      <c r="H124" s="394">
        <f>('SITE DATA'!$F$26-(0.2*G124))^2/('SITE DATA'!$F$26+(0.8*G124))</f>
        <v>0.71951219512195141</v>
      </c>
      <c r="I124" s="395">
        <v>41</v>
      </c>
      <c r="J124" s="394">
        <f>('SITE DATA'!$F$27-(0.2*G124))^2/('SITE DATA'!$F$27+(0.8*G124))</f>
        <v>0.71951219512195141</v>
      </c>
      <c r="K124" s="395">
        <v>41</v>
      </c>
      <c r="L124" s="394">
        <f>('SITE DATA'!$F$28-(0.2*G124))^2/('SITE DATA'!$F$28+(0.8*G124))</f>
        <v>0.71951219512195141</v>
      </c>
      <c r="M124" s="395">
        <v>41</v>
      </c>
    </row>
    <row r="125" spans="2:25" hidden="1" x14ac:dyDescent="0.2">
      <c r="B125" s="601" t="s">
        <v>51</v>
      </c>
      <c r="C125" s="598">
        <v>0.25</v>
      </c>
      <c r="D125" s="1094">
        <v>0.85</v>
      </c>
      <c r="E125" s="1095"/>
      <c r="F125" s="507"/>
      <c r="G125" s="393">
        <f>(1000/I125)-10</f>
        <v>13.80952380952381</v>
      </c>
      <c r="H125" s="394">
        <f>('SITE DATA'!$F$26-(0.2*G125))^2/('SITE DATA'!$F$26+(0.8*G125))</f>
        <v>0.69047619047619058</v>
      </c>
      <c r="I125" s="395">
        <v>42</v>
      </c>
      <c r="J125" s="394">
        <f>('SITE DATA'!$F$27-(0.2*G125))^2/('SITE DATA'!$F$27+(0.8*G125))</f>
        <v>0.69047619047619058</v>
      </c>
      <c r="K125" s="395">
        <v>42</v>
      </c>
      <c r="L125" s="394">
        <f>('SITE DATA'!$F$28-(0.2*G125))^2/('SITE DATA'!$F$28+(0.8*G125))</f>
        <v>0.69047619047619058</v>
      </c>
      <c r="M125" s="395">
        <v>42</v>
      </c>
    </row>
    <row r="126" spans="2:25" hidden="1" x14ac:dyDescent="0.2">
      <c r="B126" s="601" t="s">
        <v>209</v>
      </c>
      <c r="C126" s="598">
        <v>0.35</v>
      </c>
      <c r="D126" s="1094">
        <v>0.85</v>
      </c>
      <c r="E126" s="1095"/>
      <c r="F126" s="507"/>
      <c r="G126" s="393">
        <f t="shared" ref="G126:G181" si="6">(1000/I126)-10</f>
        <v>13.255813953488371</v>
      </c>
      <c r="H126" s="394">
        <f>('SITE DATA'!$F$26-(0.2*G126))^2/('SITE DATA'!$F$26+(0.8*G126))</f>
        <v>0.66279069767441856</v>
      </c>
      <c r="I126" s="395">
        <v>43</v>
      </c>
      <c r="J126" s="394">
        <f>('SITE DATA'!$F$27-(0.2*G126))^2/('SITE DATA'!$F$27+(0.8*G126))</f>
        <v>0.66279069767441856</v>
      </c>
      <c r="K126" s="395">
        <v>43</v>
      </c>
      <c r="L126" s="394">
        <f>('SITE DATA'!$F$28-(0.2*G126))^2/('SITE DATA'!$F$28+(0.8*G126))</f>
        <v>0.66279069767441856</v>
      </c>
      <c r="M126" s="395">
        <v>43</v>
      </c>
    </row>
    <row r="127" spans="2:25" hidden="1" x14ac:dyDescent="0.2">
      <c r="B127" s="601" t="s">
        <v>210</v>
      </c>
      <c r="C127" s="598">
        <v>0.2</v>
      </c>
      <c r="D127" s="1094">
        <v>0.35</v>
      </c>
      <c r="E127" s="1095"/>
      <c r="F127" s="507"/>
      <c r="G127" s="393">
        <f t="shared" si="6"/>
        <v>12.727272727272727</v>
      </c>
      <c r="H127" s="394">
        <f>('SITE DATA'!$F$26-(0.2*G127))^2/('SITE DATA'!$F$26+(0.8*G127))</f>
        <v>0.63636363636363635</v>
      </c>
      <c r="I127" s="395">
        <v>44</v>
      </c>
      <c r="J127" s="394">
        <f>('SITE DATA'!$F$27-(0.2*G127))^2/('SITE DATA'!$F$27+(0.8*G127))</f>
        <v>0.63636363636363635</v>
      </c>
      <c r="K127" s="395">
        <v>44</v>
      </c>
      <c r="L127" s="394">
        <f>('SITE DATA'!$F$28-(0.2*G127))^2/('SITE DATA'!$F$28+(0.8*G127))</f>
        <v>0.63636363636363635</v>
      </c>
      <c r="M127" s="395">
        <v>44</v>
      </c>
    </row>
    <row r="128" spans="2:25" hidden="1" x14ac:dyDescent="0.2">
      <c r="B128" s="601" t="s">
        <v>52</v>
      </c>
      <c r="C128" s="598">
        <v>0.2</v>
      </c>
      <c r="D128" s="1094">
        <v>0.35</v>
      </c>
      <c r="E128" s="1095"/>
      <c r="F128" s="507"/>
      <c r="G128" s="393">
        <f t="shared" si="6"/>
        <v>12.222222222222221</v>
      </c>
      <c r="H128" s="394">
        <f>('SITE DATA'!$F$26-(0.2*G128))^2/('SITE DATA'!$F$26+(0.8*G128))</f>
        <v>0.61111111111111116</v>
      </c>
      <c r="I128" s="395">
        <v>45</v>
      </c>
      <c r="J128" s="394">
        <f>('SITE DATA'!$F$27-(0.2*G128))^2/('SITE DATA'!$F$27+(0.8*G128))</f>
        <v>0.61111111111111116</v>
      </c>
      <c r="K128" s="395">
        <v>45</v>
      </c>
      <c r="L128" s="394">
        <f>('SITE DATA'!$F$28-(0.2*G128))^2/('SITE DATA'!$F$28+(0.8*G128))</f>
        <v>0.61111111111111116</v>
      </c>
      <c r="M128" s="395">
        <v>45</v>
      </c>
    </row>
    <row r="129" spans="2:13" hidden="1" x14ac:dyDescent="0.2">
      <c r="B129" s="601" t="s">
        <v>211</v>
      </c>
      <c r="C129" s="598">
        <v>0.3</v>
      </c>
      <c r="D129" s="1094">
        <v>0.6</v>
      </c>
      <c r="E129" s="1095"/>
      <c r="F129" s="507"/>
      <c r="G129" s="393">
        <f t="shared" si="6"/>
        <v>11.739130434782609</v>
      </c>
      <c r="H129" s="394">
        <f>('SITE DATA'!$F$26-(0.2*G129))^2/('SITE DATA'!$F$26+(0.8*G129))</f>
        <v>0.58695652173913049</v>
      </c>
      <c r="I129" s="395">
        <v>46</v>
      </c>
      <c r="J129" s="394">
        <f>('SITE DATA'!$F$27-(0.2*G129))^2/('SITE DATA'!$F$27+(0.8*G129))</f>
        <v>0.58695652173913049</v>
      </c>
      <c r="K129" s="395">
        <v>46</v>
      </c>
      <c r="L129" s="394">
        <f>('SITE DATA'!$F$28-(0.2*G129))^2/('SITE DATA'!$F$28+(0.8*G129))</f>
        <v>0.58695652173913049</v>
      </c>
      <c r="M129" s="395">
        <v>46</v>
      </c>
    </row>
    <row r="130" spans="2:13" hidden="1" x14ac:dyDescent="0.2">
      <c r="B130" s="601" t="s">
        <v>212</v>
      </c>
      <c r="C130" s="598">
        <v>0.3</v>
      </c>
      <c r="D130" s="1094">
        <v>0.85</v>
      </c>
      <c r="E130" s="1095"/>
      <c r="F130" s="507"/>
      <c r="G130" s="393">
        <f t="shared" si="6"/>
        <v>11.276595744680851</v>
      </c>
      <c r="H130" s="394">
        <f>('SITE DATA'!$F$26-(0.2*G130))^2/('SITE DATA'!$F$26+(0.8*G130))</f>
        <v>0.56382978723404253</v>
      </c>
      <c r="I130" s="395">
        <v>47</v>
      </c>
      <c r="J130" s="394">
        <f>('SITE DATA'!$F$27-(0.2*G130))^2/('SITE DATA'!$F$27+(0.8*G130))</f>
        <v>0.56382978723404253</v>
      </c>
      <c r="K130" s="395">
        <v>47</v>
      </c>
      <c r="L130" s="394">
        <f>('SITE DATA'!$F$28-(0.2*G130))^2/('SITE DATA'!$F$28+(0.8*G130))</f>
        <v>0.56382978723404253</v>
      </c>
      <c r="M130" s="395">
        <v>47</v>
      </c>
    </row>
    <row r="131" spans="2:13" hidden="1" x14ac:dyDescent="0.2">
      <c r="B131" s="601" t="s">
        <v>213</v>
      </c>
      <c r="C131" s="598">
        <v>0.1</v>
      </c>
      <c r="D131" s="1094">
        <v>0.5</v>
      </c>
      <c r="E131" s="1095"/>
      <c r="F131" s="507"/>
      <c r="G131" s="393">
        <f t="shared" si="6"/>
        <v>10.833333333333332</v>
      </c>
      <c r="H131" s="394">
        <f>('SITE DATA'!$F$26-(0.2*G131))^2/('SITE DATA'!$F$26+(0.8*G131))</f>
        <v>0.54166666666666663</v>
      </c>
      <c r="I131" s="395">
        <f>48</f>
        <v>48</v>
      </c>
      <c r="J131" s="394">
        <f>('SITE DATA'!$F$27-(0.2*G131))^2/('SITE DATA'!$F$27+(0.8*G131))</f>
        <v>0.54166666666666663</v>
      </c>
      <c r="K131" s="395">
        <f>48</f>
        <v>48</v>
      </c>
      <c r="L131" s="394">
        <f>('SITE DATA'!$F$28-(0.2*G131))^2/('SITE DATA'!$F$28+(0.8*G131))</f>
        <v>0.54166666666666663</v>
      </c>
      <c r="M131" s="395">
        <f>48</f>
        <v>48</v>
      </c>
    </row>
    <row r="132" spans="2:13" hidden="1" x14ac:dyDescent="0.2">
      <c r="B132" s="601" t="s">
        <v>53</v>
      </c>
      <c r="C132" s="598">
        <v>0</v>
      </c>
      <c r="D132" s="1094">
        <v>0</v>
      </c>
      <c r="E132" s="1095"/>
      <c r="F132" s="507"/>
      <c r="G132" s="393">
        <f t="shared" si="6"/>
        <v>10.408163265306122</v>
      </c>
      <c r="H132" s="394">
        <f>('SITE DATA'!$F$26-(0.2*G132))^2/('SITE DATA'!$F$26+(0.8*G132))</f>
        <v>0.52040816326530615</v>
      </c>
      <c r="I132" s="395">
        <f t="shared" ref="I132:I181" si="7">I131+1</f>
        <v>49</v>
      </c>
      <c r="J132" s="394">
        <f>('SITE DATA'!$F$27-(0.2*G132))^2/('SITE DATA'!$F$27+(0.8*G132))</f>
        <v>0.52040816326530615</v>
      </c>
      <c r="K132" s="395">
        <f t="shared" ref="K132:K181" si="8">K131+1</f>
        <v>49</v>
      </c>
      <c r="L132" s="394">
        <f>('SITE DATA'!$F$28-(0.2*G132))^2/('SITE DATA'!$F$28+(0.8*G132))</f>
        <v>0.52040816326530615</v>
      </c>
      <c r="M132" s="395">
        <f t="shared" ref="M132:M181" si="9">M131+1</f>
        <v>49</v>
      </c>
    </row>
    <row r="133" spans="2:13" hidden="1" x14ac:dyDescent="0.2">
      <c r="B133" s="601" t="s">
        <v>579</v>
      </c>
      <c r="C133" s="598">
        <v>0</v>
      </c>
      <c r="D133" s="1094">
        <v>0</v>
      </c>
      <c r="E133" s="1095"/>
      <c r="F133" s="507"/>
      <c r="G133" s="393">
        <f>(1000/I133)-10</f>
        <v>10</v>
      </c>
      <c r="H133" s="394">
        <f>('SITE DATA'!$F$26-(0.2*G133))^2/('SITE DATA'!$F$26+(0.8*G133))</f>
        <v>0.5</v>
      </c>
      <c r="I133" s="395">
        <f t="shared" si="7"/>
        <v>50</v>
      </c>
      <c r="J133" s="394">
        <f>('SITE DATA'!$F$27-(0.2*G133))^2/('SITE DATA'!$F$27+(0.8*G133))</f>
        <v>0.5</v>
      </c>
      <c r="K133" s="395">
        <f t="shared" si="8"/>
        <v>50</v>
      </c>
      <c r="L133" s="394">
        <f>('SITE DATA'!$F$28-(0.2*G133))^2/('SITE DATA'!$F$28+(0.8*G133))</f>
        <v>0.5</v>
      </c>
      <c r="M133" s="395">
        <f t="shared" si="9"/>
        <v>50</v>
      </c>
    </row>
    <row r="134" spans="2:13" ht="15.75" hidden="1" thickBot="1" x14ac:dyDescent="0.25">
      <c r="B134" s="602" t="s">
        <v>564</v>
      </c>
      <c r="C134" s="604">
        <f>IF(C13="Yes",G13,F134)</f>
        <v>1</v>
      </c>
      <c r="D134" s="1036" t="s">
        <v>563</v>
      </c>
      <c r="E134" s="1037"/>
      <c r="F134" s="616">
        <v>1</v>
      </c>
      <c r="G134" s="393">
        <f t="shared" si="6"/>
        <v>9.6078431372549034</v>
      </c>
      <c r="H134" s="394">
        <f>('SITE DATA'!$F$26-(0.2*G134))^2/('SITE DATA'!$F$26+(0.8*G134))</f>
        <v>0.48039215686274517</v>
      </c>
      <c r="I134" s="395">
        <f t="shared" si="7"/>
        <v>51</v>
      </c>
      <c r="J134" s="394">
        <f>('SITE DATA'!$F$27-(0.2*G134))^2/('SITE DATA'!$F$27+(0.8*G134))</f>
        <v>0.48039215686274517</v>
      </c>
      <c r="K134" s="395">
        <f t="shared" si="8"/>
        <v>51</v>
      </c>
      <c r="L134" s="394">
        <f>('SITE DATA'!$F$28-(0.2*G134))^2/('SITE DATA'!$F$28+(0.8*G134))</f>
        <v>0.48039215686274517</v>
      </c>
      <c r="M134" s="395">
        <f t="shared" si="9"/>
        <v>51</v>
      </c>
    </row>
    <row r="135" spans="2:13" hidden="1" x14ac:dyDescent="0.2">
      <c r="B135" s="514"/>
      <c r="C135" s="514"/>
      <c r="D135" s="507"/>
      <c r="E135" s="507"/>
      <c r="F135" s="507"/>
      <c r="G135" s="393">
        <f t="shared" si="6"/>
        <v>9.2307692307692299</v>
      </c>
      <c r="H135" s="394">
        <f>('SITE DATA'!$F$26-(0.2*G135))^2/('SITE DATA'!$F$26+(0.8*G135))</f>
        <v>0.46153846153846151</v>
      </c>
      <c r="I135" s="395">
        <f t="shared" si="7"/>
        <v>52</v>
      </c>
      <c r="J135" s="394">
        <f>('SITE DATA'!$F$27-(0.2*G135))^2/('SITE DATA'!$F$27+(0.8*G135))</f>
        <v>0.46153846153846151</v>
      </c>
      <c r="K135" s="395">
        <f t="shared" si="8"/>
        <v>52</v>
      </c>
      <c r="L135" s="394">
        <f>('SITE DATA'!$F$28-(0.2*G135))^2/('SITE DATA'!$F$28+(0.8*G135))</f>
        <v>0.46153846153846151</v>
      </c>
      <c r="M135" s="395">
        <f t="shared" si="9"/>
        <v>52</v>
      </c>
    </row>
    <row r="136" spans="2:13" hidden="1" x14ac:dyDescent="0.2">
      <c r="B136" s="514"/>
      <c r="C136" s="514"/>
      <c r="D136" s="507"/>
      <c r="E136" s="396"/>
      <c r="F136" s="507"/>
      <c r="G136" s="393">
        <f t="shared" si="6"/>
        <v>8.8679245283018879</v>
      </c>
      <c r="H136" s="394">
        <f>('SITE DATA'!$F$26-(0.2*G136))^2/('SITE DATA'!$F$26+(0.8*G136))</f>
        <v>0.44339622641509441</v>
      </c>
      <c r="I136" s="395">
        <f t="shared" si="7"/>
        <v>53</v>
      </c>
      <c r="J136" s="394">
        <f>('SITE DATA'!$F$27-(0.2*G136))^2/('SITE DATA'!$F$27+(0.8*G136))</f>
        <v>0.44339622641509441</v>
      </c>
      <c r="K136" s="395">
        <f t="shared" si="8"/>
        <v>53</v>
      </c>
      <c r="L136" s="394">
        <f>('SITE DATA'!$F$28-(0.2*G136))^2/('SITE DATA'!$F$28+(0.8*G136))</f>
        <v>0.44339622641509441</v>
      </c>
      <c r="M136" s="395">
        <f t="shared" si="9"/>
        <v>53</v>
      </c>
    </row>
    <row r="137" spans="2:13" hidden="1" x14ac:dyDescent="0.2">
      <c r="B137" s="507"/>
      <c r="C137" s="507"/>
      <c r="D137" s="507"/>
      <c r="E137" s="507"/>
      <c r="F137" s="507"/>
      <c r="G137" s="393">
        <f t="shared" si="6"/>
        <v>8.518518518518519</v>
      </c>
      <c r="H137" s="394">
        <f>('SITE DATA'!$F$26-(0.2*G137))^2/('SITE DATA'!$F$26+(0.8*G137))</f>
        <v>0.42592592592592599</v>
      </c>
      <c r="I137" s="395">
        <f t="shared" si="7"/>
        <v>54</v>
      </c>
      <c r="J137" s="394">
        <f>('SITE DATA'!$F$27-(0.2*G137))^2/('SITE DATA'!$F$27+(0.8*G137))</f>
        <v>0.42592592592592599</v>
      </c>
      <c r="K137" s="395">
        <f t="shared" si="8"/>
        <v>54</v>
      </c>
      <c r="L137" s="394">
        <f>('SITE DATA'!$F$28-(0.2*G137))^2/('SITE DATA'!$F$28+(0.8*G137))</f>
        <v>0.42592592592592599</v>
      </c>
      <c r="M137" s="395">
        <f t="shared" si="9"/>
        <v>54</v>
      </c>
    </row>
    <row r="138" spans="2:13" hidden="1" x14ac:dyDescent="0.2">
      <c r="B138" s="507"/>
      <c r="C138" s="507"/>
      <c r="D138" s="507"/>
      <c r="E138" s="507"/>
      <c r="F138" s="396"/>
      <c r="G138" s="393">
        <f t="shared" si="6"/>
        <v>8.1818181818181834</v>
      </c>
      <c r="H138" s="394">
        <f>('SITE DATA'!$F$26-(0.2*G138))^2/('SITE DATA'!$F$26+(0.8*G138))</f>
        <v>0.40909090909090912</v>
      </c>
      <c r="I138" s="395">
        <f t="shared" si="7"/>
        <v>55</v>
      </c>
      <c r="J138" s="394">
        <f>('SITE DATA'!$F$27-(0.2*G138))^2/('SITE DATA'!$F$27+(0.8*G138))</f>
        <v>0.40909090909090912</v>
      </c>
      <c r="K138" s="395">
        <f t="shared" si="8"/>
        <v>55</v>
      </c>
      <c r="L138" s="394">
        <f>('SITE DATA'!$F$28-(0.2*G138))^2/('SITE DATA'!$F$28+(0.8*G138))</f>
        <v>0.40909090909090912</v>
      </c>
      <c r="M138" s="395">
        <f t="shared" si="9"/>
        <v>55</v>
      </c>
    </row>
    <row r="139" spans="2:13" hidden="1" x14ac:dyDescent="0.2">
      <c r="B139" s="507"/>
      <c r="C139" s="507"/>
      <c r="D139" s="507"/>
      <c r="E139" s="507"/>
      <c r="F139" s="507"/>
      <c r="G139" s="393">
        <f t="shared" si="6"/>
        <v>7.8571428571428577</v>
      </c>
      <c r="H139" s="394">
        <f>('SITE DATA'!$F$26-(0.2*G139))^2/('SITE DATA'!$F$26+(0.8*G139))</f>
        <v>0.3928571428571429</v>
      </c>
      <c r="I139" s="395">
        <f t="shared" si="7"/>
        <v>56</v>
      </c>
      <c r="J139" s="394">
        <f>('SITE DATA'!$F$27-(0.2*G139))^2/('SITE DATA'!$F$27+(0.8*G139))</f>
        <v>0.3928571428571429</v>
      </c>
      <c r="K139" s="395">
        <f t="shared" si="8"/>
        <v>56</v>
      </c>
      <c r="L139" s="394">
        <f>('SITE DATA'!$F$28-(0.2*G139))^2/('SITE DATA'!$F$28+(0.8*G139))</f>
        <v>0.3928571428571429</v>
      </c>
      <c r="M139" s="395">
        <f t="shared" si="9"/>
        <v>56</v>
      </c>
    </row>
    <row r="140" spans="2:13" hidden="1" x14ac:dyDescent="0.2">
      <c r="B140" s="507"/>
      <c r="C140" s="507"/>
      <c r="D140" s="507"/>
      <c r="E140" s="507"/>
      <c r="F140" s="507"/>
      <c r="G140" s="393">
        <f t="shared" si="6"/>
        <v>7.5438596491228083</v>
      </c>
      <c r="H140" s="394">
        <f>('SITE DATA'!$F$26-(0.2*G140))^2/('SITE DATA'!$F$26+(0.8*G140))</f>
        <v>0.37719298245614041</v>
      </c>
      <c r="I140" s="395">
        <f t="shared" si="7"/>
        <v>57</v>
      </c>
      <c r="J140" s="394">
        <f>('SITE DATA'!$F$27-(0.2*G140))^2/('SITE DATA'!$F$27+(0.8*G140))</f>
        <v>0.37719298245614041</v>
      </c>
      <c r="K140" s="395">
        <f t="shared" si="8"/>
        <v>57</v>
      </c>
      <c r="L140" s="394">
        <f>('SITE DATA'!$F$28-(0.2*G140))^2/('SITE DATA'!$F$28+(0.8*G140))</f>
        <v>0.37719298245614041</v>
      </c>
      <c r="M140" s="395">
        <f t="shared" si="9"/>
        <v>57</v>
      </c>
    </row>
    <row r="141" spans="2:13" hidden="1" x14ac:dyDescent="0.2">
      <c r="B141" s="507"/>
      <c r="C141" s="507"/>
      <c r="D141" s="507"/>
      <c r="E141" s="507"/>
      <c r="F141" s="507"/>
      <c r="G141" s="393">
        <f t="shared" si="6"/>
        <v>7.2413793103448292</v>
      </c>
      <c r="H141" s="394">
        <f>('SITE DATA'!$F$26-(0.2*G141))^2/('SITE DATA'!$F$26+(0.8*G141))</f>
        <v>0.36206896551724144</v>
      </c>
      <c r="I141" s="395">
        <f t="shared" si="7"/>
        <v>58</v>
      </c>
      <c r="J141" s="394">
        <f>('SITE DATA'!$F$27-(0.2*G141))^2/('SITE DATA'!$F$27+(0.8*G141))</f>
        <v>0.36206896551724144</v>
      </c>
      <c r="K141" s="395">
        <f t="shared" si="8"/>
        <v>58</v>
      </c>
      <c r="L141" s="394">
        <f>('SITE DATA'!$F$28-(0.2*G141))^2/('SITE DATA'!$F$28+(0.8*G141))</f>
        <v>0.36206896551724144</v>
      </c>
      <c r="M141" s="395">
        <f t="shared" si="9"/>
        <v>58</v>
      </c>
    </row>
    <row r="142" spans="2:13" ht="15.75" hidden="1" thickBot="1" x14ac:dyDescent="0.25">
      <c r="B142" s="507"/>
      <c r="C142" s="507"/>
      <c r="D142" s="507"/>
      <c r="E142" s="507"/>
      <c r="F142" s="507"/>
      <c r="G142" s="393">
        <f t="shared" si="6"/>
        <v>6.9491525423728824</v>
      </c>
      <c r="H142" s="394">
        <f>('SITE DATA'!$F$26-(0.2*G142))^2/('SITE DATA'!$F$26+(0.8*G142))</f>
        <v>0.34745762711864414</v>
      </c>
      <c r="I142" s="395">
        <f t="shared" si="7"/>
        <v>59</v>
      </c>
      <c r="J142" s="394">
        <f>('SITE DATA'!$F$27-(0.2*G142))^2/('SITE DATA'!$F$27+(0.8*G142))</f>
        <v>0.34745762711864414</v>
      </c>
      <c r="K142" s="395">
        <f t="shared" si="8"/>
        <v>59</v>
      </c>
      <c r="L142" s="394">
        <f>('SITE DATA'!$F$28-(0.2*G142))^2/('SITE DATA'!$F$28+(0.8*G142))</f>
        <v>0.34745762711864414</v>
      </c>
      <c r="M142" s="395">
        <f t="shared" si="9"/>
        <v>59</v>
      </c>
    </row>
    <row r="143" spans="2:13" ht="16.5" hidden="1" thickBot="1" x14ac:dyDescent="0.3">
      <c r="B143" s="612" t="s">
        <v>532</v>
      </c>
      <c r="C143" s="543"/>
      <c r="D143" s="544"/>
      <c r="E143" s="507"/>
      <c r="F143" s="507"/>
      <c r="G143" s="393">
        <f t="shared" si="6"/>
        <v>6.6666666666666679</v>
      </c>
      <c r="H143" s="394">
        <f>('SITE DATA'!$F$26-(0.2*G143))^2/('SITE DATA'!$F$26+(0.8*G143))</f>
        <v>0.33333333333333343</v>
      </c>
      <c r="I143" s="395">
        <f t="shared" si="7"/>
        <v>60</v>
      </c>
      <c r="J143" s="394">
        <f>('SITE DATA'!$F$27-(0.2*G143))^2/('SITE DATA'!$F$27+(0.8*G143))</f>
        <v>0.33333333333333343</v>
      </c>
      <c r="K143" s="395">
        <f t="shared" si="8"/>
        <v>60</v>
      </c>
      <c r="L143" s="394">
        <f>('SITE DATA'!$F$28-(0.2*G143))^2/('SITE DATA'!$F$28+(0.8*G143))</f>
        <v>0.33333333333333343</v>
      </c>
      <c r="M143" s="395">
        <f t="shared" si="9"/>
        <v>60</v>
      </c>
    </row>
    <row r="144" spans="2:13" hidden="1" x14ac:dyDescent="0.2">
      <c r="B144" s="530"/>
      <c r="C144" s="512"/>
      <c r="D144" s="522"/>
      <c r="E144" s="507"/>
      <c r="F144" s="507"/>
      <c r="G144" s="393">
        <f t="shared" si="6"/>
        <v>6.3934426229508183</v>
      </c>
      <c r="H144" s="394">
        <f>('SITE DATA'!$F$26-(0.2*G144))^2/('SITE DATA'!$F$26+(0.8*G144))</f>
        <v>0.31967213114754095</v>
      </c>
      <c r="I144" s="395">
        <f t="shared" si="7"/>
        <v>61</v>
      </c>
      <c r="J144" s="394">
        <f>('SITE DATA'!$F$27-(0.2*G144))^2/('SITE DATA'!$F$27+(0.8*G144))</f>
        <v>0.31967213114754095</v>
      </c>
      <c r="K144" s="395">
        <f t="shared" si="8"/>
        <v>61</v>
      </c>
      <c r="L144" s="394">
        <f>('SITE DATA'!$F$28-(0.2*G144))^2/('SITE DATA'!$F$28+(0.8*G144))</f>
        <v>0.31967213114754095</v>
      </c>
      <c r="M144" s="395">
        <f t="shared" si="9"/>
        <v>61</v>
      </c>
    </row>
    <row r="145" spans="2:13" ht="19.5" hidden="1" x14ac:dyDescent="0.35">
      <c r="B145" s="509" t="s">
        <v>534</v>
      </c>
      <c r="C145" s="506"/>
      <c r="D145" s="513"/>
      <c r="E145" s="507"/>
      <c r="F145" s="507"/>
      <c r="G145" s="393">
        <f t="shared" si="6"/>
        <v>6.129032258064516</v>
      </c>
      <c r="H145" s="394">
        <f>('SITE DATA'!$F$26-(0.2*G145))^2/('SITE DATA'!$F$26+(0.8*G145))</f>
        <v>0.30645161290322581</v>
      </c>
      <c r="I145" s="395">
        <f t="shared" si="7"/>
        <v>62</v>
      </c>
      <c r="J145" s="394">
        <f>('SITE DATA'!$F$27-(0.2*G145))^2/('SITE DATA'!$F$27+(0.8*G145))</f>
        <v>0.30645161290322581</v>
      </c>
      <c r="K145" s="395">
        <f t="shared" si="8"/>
        <v>62</v>
      </c>
      <c r="L145" s="394">
        <f>('SITE DATA'!$F$28-(0.2*G145))^2/('SITE DATA'!$F$28+(0.8*G145))</f>
        <v>0.30645161290322581</v>
      </c>
      <c r="M145" s="395">
        <f t="shared" si="9"/>
        <v>62</v>
      </c>
    </row>
    <row r="146" spans="2:13" hidden="1" x14ac:dyDescent="0.2">
      <c r="B146" s="509" t="s">
        <v>535</v>
      </c>
      <c r="C146" s="506"/>
      <c r="D146" s="513"/>
      <c r="E146" s="507"/>
      <c r="F146" s="507"/>
      <c r="G146" s="393">
        <f t="shared" si="6"/>
        <v>5.8730158730158735</v>
      </c>
      <c r="H146" s="394">
        <f>('SITE DATA'!$F$26-(0.2*G146))^2/('SITE DATA'!$F$26+(0.8*G146))</f>
        <v>0.29365079365079366</v>
      </c>
      <c r="I146" s="395">
        <f t="shared" si="7"/>
        <v>63</v>
      </c>
      <c r="J146" s="394">
        <f>('SITE DATA'!$F$27-(0.2*G146))^2/('SITE DATA'!$F$27+(0.8*G146))</f>
        <v>0.29365079365079366</v>
      </c>
      <c r="K146" s="395">
        <f t="shared" si="8"/>
        <v>63</v>
      </c>
      <c r="L146" s="394">
        <f>('SITE DATA'!$F$28-(0.2*G146))^2/('SITE DATA'!$F$28+(0.8*G146))</f>
        <v>0.29365079365079366</v>
      </c>
      <c r="M146" s="395">
        <f t="shared" si="9"/>
        <v>63</v>
      </c>
    </row>
    <row r="147" spans="2:13" hidden="1" x14ac:dyDescent="0.2">
      <c r="B147" s="509" t="s">
        <v>539</v>
      </c>
      <c r="C147" s="506"/>
      <c r="D147" s="513"/>
      <c r="E147" s="507"/>
      <c r="F147" s="507"/>
      <c r="G147" s="393">
        <f t="shared" si="6"/>
        <v>5.625</v>
      </c>
      <c r="H147" s="394">
        <f>('SITE DATA'!$F$26-(0.2*G147))^2/('SITE DATA'!$F$26+(0.8*G147))</f>
        <v>0.28125</v>
      </c>
      <c r="I147" s="395">
        <f t="shared" si="7"/>
        <v>64</v>
      </c>
      <c r="J147" s="394">
        <f>('SITE DATA'!$F$27-(0.2*G147))^2/('SITE DATA'!$F$27+(0.8*G147))</f>
        <v>0.28125</v>
      </c>
      <c r="K147" s="395">
        <f t="shared" si="8"/>
        <v>64</v>
      </c>
      <c r="L147" s="394">
        <f>('SITE DATA'!$F$28-(0.2*G147))^2/('SITE DATA'!$F$28+(0.8*G147))</f>
        <v>0.28125</v>
      </c>
      <c r="M147" s="395">
        <f t="shared" si="9"/>
        <v>64</v>
      </c>
    </row>
    <row r="148" spans="2:13" ht="19.5" hidden="1" x14ac:dyDescent="0.35">
      <c r="B148" s="509" t="s">
        <v>541</v>
      </c>
      <c r="C148" s="506"/>
      <c r="D148" s="513"/>
      <c r="E148" s="507"/>
      <c r="F148" s="507"/>
      <c r="G148" s="393">
        <f t="shared" si="6"/>
        <v>5.384615384615385</v>
      </c>
      <c r="H148" s="394">
        <f>('SITE DATA'!$F$26-(0.2*G148))^2/('SITE DATA'!$F$26+(0.8*G148))</f>
        <v>0.26923076923076927</v>
      </c>
      <c r="I148" s="395">
        <f t="shared" si="7"/>
        <v>65</v>
      </c>
      <c r="J148" s="394">
        <f>('SITE DATA'!$F$27-(0.2*G148))^2/('SITE DATA'!$F$27+(0.8*G148))</f>
        <v>0.26923076923076927</v>
      </c>
      <c r="K148" s="395">
        <f t="shared" si="8"/>
        <v>65</v>
      </c>
      <c r="L148" s="394">
        <f>('SITE DATA'!$F$28-(0.2*G148))^2/('SITE DATA'!$F$28+(0.8*G148))</f>
        <v>0.26923076923076927</v>
      </c>
      <c r="M148" s="395">
        <f t="shared" si="9"/>
        <v>65</v>
      </c>
    </row>
    <row r="149" spans="2:13" hidden="1" x14ac:dyDescent="0.2">
      <c r="B149" s="538"/>
      <c r="C149" s="511" t="s">
        <v>543</v>
      </c>
      <c r="D149" s="613" t="e">
        <f>(SUM(D25:E25))/SUM(D17:M25)</f>
        <v>#DIV/0!</v>
      </c>
      <c r="E149" s="507"/>
      <c r="F149" s="507"/>
      <c r="G149" s="393">
        <f t="shared" si="6"/>
        <v>5.1515151515151523</v>
      </c>
      <c r="H149" s="394">
        <f>('SITE DATA'!$F$26-(0.2*G149))^2/('SITE DATA'!$F$26+(0.8*G149))</f>
        <v>0.25757575757575762</v>
      </c>
      <c r="I149" s="395">
        <f t="shared" si="7"/>
        <v>66</v>
      </c>
      <c r="J149" s="394">
        <f>('SITE DATA'!$F$27-(0.2*G149))^2/('SITE DATA'!$F$27+(0.8*G149))</f>
        <v>0.25757575757575762</v>
      </c>
      <c r="K149" s="395">
        <f t="shared" si="8"/>
        <v>66</v>
      </c>
      <c r="L149" s="394">
        <f>('SITE DATA'!$F$28-(0.2*G149))^2/('SITE DATA'!$F$28+(0.8*G149))</f>
        <v>0.25757575757575762</v>
      </c>
      <c r="M149" s="395">
        <f t="shared" si="9"/>
        <v>66</v>
      </c>
    </row>
    <row r="150" spans="2:13" ht="24" hidden="1" thickBot="1" x14ac:dyDescent="0.4">
      <c r="B150" s="540" t="s">
        <v>569</v>
      </c>
      <c r="C150" s="511" t="s">
        <v>547</v>
      </c>
      <c r="D150" s="539" t="e">
        <f>0.05+(0.9*D149)</f>
        <v>#DIV/0!</v>
      </c>
      <c r="E150" s="507" t="s">
        <v>726</v>
      </c>
      <c r="F150" s="507"/>
      <c r="G150" s="393">
        <f t="shared" si="6"/>
        <v>4.9253731343283587</v>
      </c>
      <c r="H150" s="394">
        <f>('SITE DATA'!$F$26-(0.2*G150))^2/('SITE DATA'!$F$26+(0.8*G150))</f>
        <v>0.24626865671641796</v>
      </c>
      <c r="I150" s="395">
        <f t="shared" si="7"/>
        <v>67</v>
      </c>
      <c r="J150" s="394">
        <f>('SITE DATA'!$F$27-(0.2*G150))^2/('SITE DATA'!$F$27+(0.8*G150))</f>
        <v>0.24626865671641796</v>
      </c>
      <c r="K150" s="395">
        <f t="shared" si="8"/>
        <v>67</v>
      </c>
      <c r="L150" s="394">
        <f>('SITE DATA'!$F$28-(0.2*G150))^2/('SITE DATA'!$F$28+(0.8*G150))</f>
        <v>0.24626865671641796</v>
      </c>
      <c r="M150" s="395">
        <f t="shared" si="9"/>
        <v>67</v>
      </c>
    </row>
    <row r="151" spans="2:13" ht="24" hidden="1" thickBot="1" x14ac:dyDescent="0.4">
      <c r="B151" s="540"/>
      <c r="C151" s="534" t="s">
        <v>549</v>
      </c>
      <c r="D151" s="535" t="e">
        <f>3630*1*D150*SUM(D17:E25)</f>
        <v>#DIV/0!</v>
      </c>
      <c r="E151" s="615" t="e">
        <f>D151</f>
        <v>#DIV/0!</v>
      </c>
      <c r="F151" s="507"/>
      <c r="G151" s="393">
        <f t="shared" si="6"/>
        <v>4.7058823529411757</v>
      </c>
      <c r="H151" s="394">
        <f>('SITE DATA'!$F$26-(0.2*G151))^2/('SITE DATA'!$F$26+(0.8*G151))</f>
        <v>0.23529411764705879</v>
      </c>
      <c r="I151" s="395">
        <f t="shared" si="7"/>
        <v>68</v>
      </c>
      <c r="J151" s="394">
        <f>('SITE DATA'!$F$27-(0.2*G151))^2/('SITE DATA'!$F$27+(0.8*G151))</f>
        <v>0.23529411764705879</v>
      </c>
      <c r="K151" s="395">
        <f t="shared" si="8"/>
        <v>68</v>
      </c>
      <c r="L151" s="394">
        <f>('SITE DATA'!$F$28-(0.2*G151))^2/('SITE DATA'!$F$28+(0.8*G151))</f>
        <v>0.23529411764705879</v>
      </c>
      <c r="M151" s="395">
        <f t="shared" si="9"/>
        <v>68</v>
      </c>
    </row>
    <row r="152" spans="2:13" ht="15.75" hidden="1" thickBot="1" x14ac:dyDescent="0.25">
      <c r="B152" s="541"/>
      <c r="C152" s="537"/>
      <c r="D152" s="531"/>
      <c r="E152" s="507"/>
      <c r="F152" s="507"/>
      <c r="G152" s="393">
        <f t="shared" si="6"/>
        <v>4.4927536231884062</v>
      </c>
      <c r="H152" s="394">
        <f>('SITE DATA'!$F$26-(0.2*G152))^2/('SITE DATA'!$F$26+(0.8*G152))</f>
        <v>0.22463768115942032</v>
      </c>
      <c r="I152" s="395">
        <f t="shared" si="7"/>
        <v>69</v>
      </c>
      <c r="J152" s="394">
        <f>('SITE DATA'!$F$27-(0.2*G152))^2/('SITE DATA'!$F$27+(0.8*G152))</f>
        <v>0.22463768115942032</v>
      </c>
      <c r="K152" s="395">
        <f t="shared" si="8"/>
        <v>69</v>
      </c>
      <c r="L152" s="394">
        <f>('SITE DATA'!$F$28-(0.2*G152))^2/('SITE DATA'!$F$28+(0.8*G152))</f>
        <v>0.22463768115942032</v>
      </c>
      <c r="M152" s="395">
        <f t="shared" si="9"/>
        <v>69</v>
      </c>
    </row>
    <row r="153" spans="2:13" hidden="1" x14ac:dyDescent="0.2">
      <c r="B153" s="538"/>
      <c r="C153" s="511" t="s">
        <v>543</v>
      </c>
      <c r="D153" s="613" t="e">
        <f>(SUM(F25:G25))/SUM(D17:M25)</f>
        <v>#DIV/0!</v>
      </c>
      <c r="E153" s="507"/>
      <c r="F153" s="507"/>
      <c r="G153" s="393">
        <f t="shared" si="6"/>
        <v>4.2857142857142865</v>
      </c>
      <c r="H153" s="394">
        <f>('SITE DATA'!$F$26-(0.2*G153))^2/('SITE DATA'!$F$26+(0.8*G153))</f>
        <v>0.21428571428571433</v>
      </c>
      <c r="I153" s="395">
        <f t="shared" si="7"/>
        <v>70</v>
      </c>
      <c r="J153" s="394">
        <f>('SITE DATA'!$F$27-(0.2*G153))^2/('SITE DATA'!$F$27+(0.8*G153))</f>
        <v>0.21428571428571433</v>
      </c>
      <c r="K153" s="395">
        <f t="shared" si="8"/>
        <v>70</v>
      </c>
      <c r="L153" s="394">
        <f>('SITE DATA'!$F$28-(0.2*G153))^2/('SITE DATA'!$F$28+(0.8*G153))</f>
        <v>0.21428571428571433</v>
      </c>
      <c r="M153" s="395">
        <f t="shared" si="9"/>
        <v>70</v>
      </c>
    </row>
    <row r="154" spans="2:13" ht="24" hidden="1" thickBot="1" x14ac:dyDescent="0.4">
      <c r="B154" s="540" t="s">
        <v>570</v>
      </c>
      <c r="C154" s="511" t="s">
        <v>547</v>
      </c>
      <c r="D154" s="539" t="e">
        <f>0.05+(0.9*D153)</f>
        <v>#DIV/0!</v>
      </c>
      <c r="E154" s="507"/>
      <c r="F154" s="507"/>
      <c r="G154" s="393">
        <f t="shared" si="6"/>
        <v>4.0845070422535219</v>
      </c>
      <c r="H154" s="394">
        <f>('SITE DATA'!$F$26-(0.2*G154))^2/('SITE DATA'!$F$26+(0.8*G154))</f>
        <v>0.20422535211267612</v>
      </c>
      <c r="I154" s="395">
        <f t="shared" si="7"/>
        <v>71</v>
      </c>
      <c r="J154" s="394">
        <f>('SITE DATA'!$F$27-(0.2*G154))^2/('SITE DATA'!$F$27+(0.8*G154))</f>
        <v>0.20422535211267612</v>
      </c>
      <c r="K154" s="395">
        <f t="shared" si="8"/>
        <v>71</v>
      </c>
      <c r="L154" s="394">
        <f>('SITE DATA'!$F$28-(0.2*G154))^2/('SITE DATA'!$F$28+(0.8*G154))</f>
        <v>0.20422535211267612</v>
      </c>
      <c r="M154" s="395">
        <f t="shared" si="9"/>
        <v>71</v>
      </c>
    </row>
    <row r="155" spans="2:13" ht="24" hidden="1" thickBot="1" x14ac:dyDescent="0.4">
      <c r="B155" s="540"/>
      <c r="C155" s="534" t="s">
        <v>549</v>
      </c>
      <c r="D155" s="535" t="e">
        <f>3630*1*D154*SUM(F17:G25)</f>
        <v>#DIV/0!</v>
      </c>
      <c r="E155" s="615" t="e">
        <f>D155</f>
        <v>#DIV/0!</v>
      </c>
      <c r="F155" s="507"/>
      <c r="G155" s="393">
        <f t="shared" si="6"/>
        <v>3.8888888888888893</v>
      </c>
      <c r="H155" s="394">
        <f>('SITE DATA'!$F$26-(0.2*G155))^2/('SITE DATA'!$F$26+(0.8*G155))</f>
        <v>0.1944444444444445</v>
      </c>
      <c r="I155" s="395">
        <f t="shared" si="7"/>
        <v>72</v>
      </c>
      <c r="J155" s="394">
        <f>('SITE DATA'!$F$27-(0.2*G155))^2/('SITE DATA'!$F$27+(0.8*G155))</f>
        <v>0.1944444444444445</v>
      </c>
      <c r="K155" s="395">
        <f t="shared" si="8"/>
        <v>72</v>
      </c>
      <c r="L155" s="394">
        <f>('SITE DATA'!$F$28-(0.2*G155))^2/('SITE DATA'!$F$28+(0.8*G155))</f>
        <v>0.1944444444444445</v>
      </c>
      <c r="M155" s="395">
        <f t="shared" si="9"/>
        <v>72</v>
      </c>
    </row>
    <row r="156" spans="2:13" ht="15.75" hidden="1" thickBot="1" x14ac:dyDescent="0.25">
      <c r="B156" s="541"/>
      <c r="C156" s="537"/>
      <c r="D156" s="531"/>
      <c r="E156" s="507"/>
      <c r="F156" s="507"/>
      <c r="G156" s="393">
        <f t="shared" si="6"/>
        <v>3.6986301369863011</v>
      </c>
      <c r="H156" s="394">
        <f>('SITE DATA'!$F$26-(0.2*G156))^2/('SITE DATA'!$F$26+(0.8*G156))</f>
        <v>0.18493150684931509</v>
      </c>
      <c r="I156" s="395">
        <f t="shared" si="7"/>
        <v>73</v>
      </c>
      <c r="J156" s="394">
        <f>('SITE DATA'!$F$27-(0.2*G156))^2/('SITE DATA'!$F$27+(0.8*G156))</f>
        <v>0.18493150684931509</v>
      </c>
      <c r="K156" s="395">
        <f t="shared" si="8"/>
        <v>73</v>
      </c>
      <c r="L156" s="394">
        <f>('SITE DATA'!$F$28-(0.2*G156))^2/('SITE DATA'!$F$28+(0.8*G156))</f>
        <v>0.18493150684931509</v>
      </c>
      <c r="M156" s="395">
        <f t="shared" si="9"/>
        <v>73</v>
      </c>
    </row>
    <row r="157" spans="2:13" hidden="1" x14ac:dyDescent="0.2">
      <c r="B157" s="538"/>
      <c r="C157" s="511" t="s">
        <v>543</v>
      </c>
      <c r="D157" s="613" t="e">
        <f>(SUM(H25:I25))/SUM(D17:M25)</f>
        <v>#DIV/0!</v>
      </c>
      <c r="E157" s="507"/>
      <c r="F157" s="507"/>
      <c r="G157" s="393">
        <f t="shared" si="6"/>
        <v>3.513513513513514</v>
      </c>
      <c r="H157" s="394">
        <f>('SITE DATA'!$F$26-(0.2*G157))^2/('SITE DATA'!$F$26+(0.8*G157))</f>
        <v>0.17567567567567571</v>
      </c>
      <c r="I157" s="395">
        <f t="shared" si="7"/>
        <v>74</v>
      </c>
      <c r="J157" s="394">
        <f>('SITE DATA'!$F$27-(0.2*G157))^2/('SITE DATA'!$F$27+(0.8*G157))</f>
        <v>0.17567567567567571</v>
      </c>
      <c r="K157" s="395">
        <f t="shared" si="8"/>
        <v>74</v>
      </c>
      <c r="L157" s="394">
        <f>('SITE DATA'!$F$28-(0.2*G157))^2/('SITE DATA'!$F$28+(0.8*G157))</f>
        <v>0.17567567567567571</v>
      </c>
      <c r="M157" s="395">
        <f t="shared" si="9"/>
        <v>74</v>
      </c>
    </row>
    <row r="158" spans="2:13" ht="24" hidden="1" thickBot="1" x14ac:dyDescent="0.4">
      <c r="B158" s="540" t="s">
        <v>571</v>
      </c>
      <c r="C158" s="511" t="s">
        <v>547</v>
      </c>
      <c r="D158" s="539" t="e">
        <f>0.05+(0.9*D157)</f>
        <v>#DIV/0!</v>
      </c>
      <c r="E158" s="507"/>
      <c r="F158" s="507"/>
      <c r="G158" s="393">
        <f t="shared" si="6"/>
        <v>3.3333333333333339</v>
      </c>
      <c r="H158" s="394">
        <f>('SITE DATA'!$F$26-(0.2*G158))^2/('SITE DATA'!$F$26+(0.8*G158))</f>
        <v>0.16666666666666671</v>
      </c>
      <c r="I158" s="395">
        <f t="shared" si="7"/>
        <v>75</v>
      </c>
      <c r="J158" s="394">
        <f>('SITE DATA'!$F$27-(0.2*G158))^2/('SITE DATA'!$F$27+(0.8*G158))</f>
        <v>0.16666666666666671</v>
      </c>
      <c r="K158" s="395">
        <f t="shared" si="8"/>
        <v>75</v>
      </c>
      <c r="L158" s="394">
        <f>('SITE DATA'!$F$28-(0.2*G158))^2/('SITE DATA'!$F$28+(0.8*G158))</f>
        <v>0.16666666666666671</v>
      </c>
      <c r="M158" s="395">
        <f t="shared" si="9"/>
        <v>75</v>
      </c>
    </row>
    <row r="159" spans="2:13" ht="24" hidden="1" thickBot="1" x14ac:dyDescent="0.4">
      <c r="B159" s="540"/>
      <c r="C159" s="534" t="s">
        <v>549</v>
      </c>
      <c r="D159" s="535" t="e">
        <f>3630*1*D158*SUM(H17:I25)</f>
        <v>#DIV/0!</v>
      </c>
      <c r="E159" s="615" t="e">
        <f>D159</f>
        <v>#DIV/0!</v>
      </c>
      <c r="F159" s="507"/>
      <c r="G159" s="393">
        <f t="shared" si="6"/>
        <v>3.1578947368421044</v>
      </c>
      <c r="H159" s="394">
        <f>('SITE DATA'!$F$26-(0.2*G159))^2/('SITE DATA'!$F$26+(0.8*G159))</f>
        <v>0.15789473684210523</v>
      </c>
      <c r="I159" s="586">
        <f t="shared" si="7"/>
        <v>76</v>
      </c>
      <c r="J159" s="394">
        <f>('SITE DATA'!$F$27-(0.2*G159))^2/('SITE DATA'!$F$27+(0.8*G159))</f>
        <v>0.15789473684210523</v>
      </c>
      <c r="K159" s="586">
        <f t="shared" si="8"/>
        <v>76</v>
      </c>
      <c r="L159" s="394">
        <f>('SITE DATA'!$F$28-(0.2*G159))^2/('SITE DATA'!$F$28+(0.8*G159))</f>
        <v>0.15789473684210523</v>
      </c>
      <c r="M159" s="586">
        <f t="shared" si="9"/>
        <v>76</v>
      </c>
    </row>
    <row r="160" spans="2:13" ht="15.75" hidden="1" thickBot="1" x14ac:dyDescent="0.25">
      <c r="B160" s="541"/>
      <c r="C160" s="537"/>
      <c r="D160" s="531"/>
      <c r="E160" s="507"/>
      <c r="F160" s="507"/>
      <c r="G160" s="393">
        <f t="shared" si="6"/>
        <v>2.9870129870129869</v>
      </c>
      <c r="H160" s="394">
        <f>('SITE DATA'!$F$26-(0.2*G160))^2/('SITE DATA'!$F$26+(0.8*G160))</f>
        <v>0.14935064935064934</v>
      </c>
      <c r="I160" s="586">
        <f t="shared" si="7"/>
        <v>77</v>
      </c>
      <c r="J160" s="394">
        <f>('SITE DATA'!$F$27-(0.2*G160))^2/('SITE DATA'!$F$27+(0.8*G160))</f>
        <v>0.14935064935064934</v>
      </c>
      <c r="K160" s="586">
        <f t="shared" si="8"/>
        <v>77</v>
      </c>
      <c r="L160" s="394">
        <f>('SITE DATA'!$F$28-(0.2*G160))^2/('SITE DATA'!$F$28+(0.8*G160))</f>
        <v>0.14935064935064934</v>
      </c>
      <c r="M160" s="586">
        <f t="shared" si="9"/>
        <v>77</v>
      </c>
    </row>
    <row r="161" spans="2:13" hidden="1" x14ac:dyDescent="0.2">
      <c r="B161" s="538"/>
      <c r="C161" s="511" t="s">
        <v>543</v>
      </c>
      <c r="D161" s="613" t="e">
        <f>(SUM(J25:K25))/SUM(D17:M25)</f>
        <v>#DIV/0!</v>
      </c>
      <c r="E161" s="507"/>
      <c r="F161" s="507"/>
      <c r="G161" s="393">
        <f t="shared" si="6"/>
        <v>2.8205128205128212</v>
      </c>
      <c r="H161" s="394">
        <f>('SITE DATA'!$F$26-(0.2*G161))^2/('SITE DATA'!$F$26+(0.8*G161))</f>
        <v>0.14102564102564105</v>
      </c>
      <c r="I161" s="586">
        <f t="shared" si="7"/>
        <v>78</v>
      </c>
      <c r="J161" s="394">
        <f>('SITE DATA'!$F$27-(0.2*G161))^2/('SITE DATA'!$F$27+(0.8*G161))</f>
        <v>0.14102564102564105</v>
      </c>
      <c r="K161" s="586">
        <f t="shared" si="8"/>
        <v>78</v>
      </c>
      <c r="L161" s="394">
        <f>('SITE DATA'!$F$28-(0.2*G161))^2/('SITE DATA'!$F$28+(0.8*G161))</f>
        <v>0.14102564102564105</v>
      </c>
      <c r="M161" s="586">
        <f t="shared" si="9"/>
        <v>78</v>
      </c>
    </row>
    <row r="162" spans="2:13" ht="24" hidden="1" thickBot="1" x14ac:dyDescent="0.4">
      <c r="B162" s="540" t="s">
        <v>572</v>
      </c>
      <c r="C162" s="511" t="s">
        <v>547</v>
      </c>
      <c r="D162" s="539" t="e">
        <f>0.05+(0.9*D161)</f>
        <v>#DIV/0!</v>
      </c>
      <c r="E162" s="507"/>
      <c r="F162" s="507"/>
      <c r="G162" s="393">
        <f t="shared" si="6"/>
        <v>2.6582278481012658</v>
      </c>
      <c r="H162" s="394">
        <f>('SITE DATA'!$F$26-(0.2*G162))^2/('SITE DATA'!$F$26+(0.8*G162))</f>
        <v>0.13291139240506331</v>
      </c>
      <c r="I162" s="586">
        <f t="shared" si="7"/>
        <v>79</v>
      </c>
      <c r="J162" s="394">
        <f>('SITE DATA'!$F$27-(0.2*G162))^2/('SITE DATA'!$F$27+(0.8*G162))</f>
        <v>0.13291139240506331</v>
      </c>
      <c r="K162" s="586">
        <f t="shared" si="8"/>
        <v>79</v>
      </c>
      <c r="L162" s="394">
        <f>('SITE DATA'!$F$28-(0.2*G162))^2/('SITE DATA'!$F$28+(0.8*G162))</f>
        <v>0.13291139240506331</v>
      </c>
      <c r="M162" s="586">
        <f t="shared" si="9"/>
        <v>79</v>
      </c>
    </row>
    <row r="163" spans="2:13" ht="24" hidden="1" thickBot="1" x14ac:dyDescent="0.4">
      <c r="B163" s="540"/>
      <c r="C163" s="534" t="s">
        <v>549</v>
      </c>
      <c r="D163" s="535" t="e">
        <f>3630*1*D162*SUM(J17:K25)</f>
        <v>#DIV/0!</v>
      </c>
      <c r="E163" s="615" t="e">
        <f>D163</f>
        <v>#DIV/0!</v>
      </c>
      <c r="F163" s="507"/>
      <c r="G163" s="393">
        <f t="shared" si="6"/>
        <v>2.5</v>
      </c>
      <c r="H163" s="394">
        <f>('SITE DATA'!$F$26-(0.2*G163))^2/('SITE DATA'!$F$26+(0.8*G163))</f>
        <v>0.125</v>
      </c>
      <c r="I163" s="586">
        <f t="shared" si="7"/>
        <v>80</v>
      </c>
      <c r="J163" s="394">
        <f>('SITE DATA'!$F$27-(0.2*G163))^2/('SITE DATA'!$F$27+(0.8*G163))</f>
        <v>0.125</v>
      </c>
      <c r="K163" s="586">
        <f t="shared" si="8"/>
        <v>80</v>
      </c>
      <c r="L163" s="394">
        <f>('SITE DATA'!$F$28-(0.2*G163))^2/('SITE DATA'!$F$28+(0.8*G163))</f>
        <v>0.125</v>
      </c>
      <c r="M163" s="586">
        <f t="shared" si="9"/>
        <v>80</v>
      </c>
    </row>
    <row r="164" spans="2:13" ht="15.75" hidden="1" thickBot="1" x14ac:dyDescent="0.25">
      <c r="B164" s="541"/>
      <c r="C164" s="537"/>
      <c r="D164" s="531"/>
      <c r="E164" s="507"/>
      <c r="F164" s="507"/>
      <c r="G164" s="393">
        <f t="shared" si="6"/>
        <v>2.3456790123456788</v>
      </c>
      <c r="H164" s="394">
        <f>('SITE DATA'!$F$26-(0.2*G164))^2/('SITE DATA'!$F$26+(0.8*G164))</f>
        <v>0.11728395061728394</v>
      </c>
      <c r="I164" s="586">
        <f t="shared" si="7"/>
        <v>81</v>
      </c>
      <c r="J164" s="394">
        <f>('SITE DATA'!$F$27-(0.2*G164))^2/('SITE DATA'!$F$27+(0.8*G164))</f>
        <v>0.11728395061728394</v>
      </c>
      <c r="K164" s="586">
        <f t="shared" si="8"/>
        <v>81</v>
      </c>
      <c r="L164" s="394">
        <f>('SITE DATA'!$F$28-(0.2*G164))^2/('SITE DATA'!$F$28+(0.8*G164))</f>
        <v>0.11728395061728394</v>
      </c>
      <c r="M164" s="586">
        <f t="shared" si="9"/>
        <v>81</v>
      </c>
    </row>
    <row r="165" spans="2:13" hidden="1" x14ac:dyDescent="0.2">
      <c r="B165" s="538"/>
      <c r="C165" s="511" t="s">
        <v>543</v>
      </c>
      <c r="D165" s="613" t="e">
        <f>(SUM(L25:M25))/SUM(D17:M25)</f>
        <v>#DIV/0!</v>
      </c>
      <c r="E165" s="507"/>
      <c r="F165" s="507"/>
      <c r="G165" s="393">
        <f t="shared" si="6"/>
        <v>2.1951219512195124</v>
      </c>
      <c r="H165" s="394">
        <f>('SITE DATA'!$F$26-(0.2*G165))^2/('SITE DATA'!$F$26+(0.8*G165))</f>
        <v>0.10975609756097562</v>
      </c>
      <c r="I165" s="586">
        <f t="shared" si="7"/>
        <v>82</v>
      </c>
      <c r="J165" s="394">
        <f>('SITE DATA'!$F$27-(0.2*G165))^2/('SITE DATA'!$F$27+(0.8*G165))</f>
        <v>0.10975609756097562</v>
      </c>
      <c r="K165" s="586">
        <f t="shared" si="8"/>
        <v>82</v>
      </c>
      <c r="L165" s="394">
        <f>('SITE DATA'!$F$28-(0.2*G165))^2/('SITE DATA'!$F$28+(0.8*G165))</f>
        <v>0.10975609756097562</v>
      </c>
      <c r="M165" s="586">
        <f t="shared" si="9"/>
        <v>82</v>
      </c>
    </row>
    <row r="166" spans="2:13" ht="24" hidden="1" thickBot="1" x14ac:dyDescent="0.4">
      <c r="B166" s="540" t="s">
        <v>573</v>
      </c>
      <c r="C166" s="511" t="s">
        <v>547</v>
      </c>
      <c r="D166" s="539" t="e">
        <f>0.05+(0.9*D165)</f>
        <v>#DIV/0!</v>
      </c>
      <c r="E166" s="507"/>
      <c r="F166" s="507"/>
      <c r="G166" s="393">
        <f t="shared" si="6"/>
        <v>2.0481927710843379</v>
      </c>
      <c r="H166" s="394">
        <f>('SITE DATA'!$F$26-(0.2*G166))^2/('SITE DATA'!$F$26+(0.8*G166))</f>
        <v>0.10240963855421689</v>
      </c>
      <c r="I166" s="586">
        <f t="shared" si="7"/>
        <v>83</v>
      </c>
      <c r="J166" s="394">
        <f>('SITE DATA'!$F$27-(0.2*G166))^2/('SITE DATA'!$F$27+(0.8*G166))</f>
        <v>0.10240963855421689</v>
      </c>
      <c r="K166" s="586">
        <f t="shared" si="8"/>
        <v>83</v>
      </c>
      <c r="L166" s="394">
        <f>('SITE DATA'!$F$28-(0.2*G166))^2/('SITE DATA'!$F$28+(0.8*G166))</f>
        <v>0.10240963855421689</v>
      </c>
      <c r="M166" s="586">
        <f t="shared" si="9"/>
        <v>83</v>
      </c>
    </row>
    <row r="167" spans="2:13" ht="24" hidden="1" thickBot="1" x14ac:dyDescent="0.4">
      <c r="B167" s="540"/>
      <c r="C167" s="534" t="s">
        <v>549</v>
      </c>
      <c r="D167" s="535" t="e">
        <f>3630*1*D166*SUM(L17:M25)</f>
        <v>#DIV/0!</v>
      </c>
      <c r="E167" s="615" t="e">
        <f>D167</f>
        <v>#DIV/0!</v>
      </c>
      <c r="F167" s="507"/>
      <c r="G167" s="393">
        <f t="shared" si="6"/>
        <v>1.9047619047619051</v>
      </c>
      <c r="H167" s="394">
        <f>('SITE DATA'!$F$26-(0.2*G167))^2/('SITE DATA'!$F$26+(0.8*G167))</f>
        <v>9.5238095238095261E-2</v>
      </c>
      <c r="I167" s="586">
        <f t="shared" si="7"/>
        <v>84</v>
      </c>
      <c r="J167" s="394">
        <f>('SITE DATA'!$F$27-(0.2*G167))^2/('SITE DATA'!$F$27+(0.8*G167))</f>
        <v>9.5238095238095261E-2</v>
      </c>
      <c r="K167" s="586">
        <f t="shared" si="8"/>
        <v>84</v>
      </c>
      <c r="L167" s="394">
        <f>('SITE DATA'!$F$28-(0.2*G167))^2/('SITE DATA'!$F$28+(0.8*G167))</f>
        <v>9.5238095238095261E-2</v>
      </c>
      <c r="M167" s="586">
        <f t="shared" si="9"/>
        <v>84</v>
      </c>
    </row>
    <row r="168" spans="2:13" ht="15.75" hidden="1" thickBot="1" x14ac:dyDescent="0.25">
      <c r="B168" s="541"/>
      <c r="C168" s="537"/>
      <c r="D168" s="531"/>
      <c r="E168" s="507"/>
      <c r="F168" s="507"/>
      <c r="G168" s="393">
        <f t="shared" si="6"/>
        <v>1.764705882352942</v>
      </c>
      <c r="H168" s="394">
        <f>('SITE DATA'!$F$26-(0.2*G168))^2/('SITE DATA'!$F$26+(0.8*G168))</f>
        <v>8.8235294117647106E-2</v>
      </c>
      <c r="I168" s="586">
        <f t="shared" si="7"/>
        <v>85</v>
      </c>
      <c r="J168" s="394">
        <f>('SITE DATA'!$F$27-(0.2*G168))^2/('SITE DATA'!$F$27+(0.8*G168))</f>
        <v>8.8235294117647106E-2</v>
      </c>
      <c r="K168" s="586">
        <f t="shared" si="8"/>
        <v>85</v>
      </c>
      <c r="L168" s="394">
        <f>('SITE DATA'!$F$28-(0.2*G168))^2/('SITE DATA'!$F$28+(0.8*G168))</f>
        <v>8.8235294117647106E-2</v>
      </c>
      <c r="M168" s="586">
        <f t="shared" si="9"/>
        <v>85</v>
      </c>
    </row>
    <row r="169" spans="2:13" hidden="1" x14ac:dyDescent="0.2">
      <c r="B169" s="397"/>
      <c r="C169" s="507"/>
      <c r="D169" s="507"/>
      <c r="E169" s="507"/>
      <c r="F169" s="160"/>
      <c r="G169" s="393">
        <f t="shared" si="6"/>
        <v>1.6279069767441854</v>
      </c>
      <c r="H169" s="394">
        <f>('SITE DATA'!$F$26-(0.2*G169))^2/('SITE DATA'!$F$26+(0.8*G169))</f>
        <v>8.139534883720928E-2</v>
      </c>
      <c r="I169" s="586">
        <f t="shared" si="7"/>
        <v>86</v>
      </c>
      <c r="J169" s="394">
        <f>('SITE DATA'!$F$27-(0.2*G169))^2/('SITE DATA'!$F$27+(0.8*G169))</f>
        <v>8.139534883720928E-2</v>
      </c>
      <c r="K169" s="586">
        <f t="shared" si="8"/>
        <v>86</v>
      </c>
      <c r="L169" s="394">
        <f>('SITE DATA'!$F$28-(0.2*G169))^2/('SITE DATA'!$F$28+(0.8*G169))</f>
        <v>8.139534883720928E-2</v>
      </c>
      <c r="M169" s="586">
        <f t="shared" si="9"/>
        <v>86</v>
      </c>
    </row>
    <row r="170" spans="2:13" hidden="1" x14ac:dyDescent="0.2">
      <c r="B170" s="397"/>
      <c r="C170" s="507"/>
      <c r="D170" s="507"/>
      <c r="E170" s="507"/>
      <c r="F170" s="507"/>
      <c r="G170" s="393">
        <f t="shared" si="6"/>
        <v>1.4942528735632177</v>
      </c>
      <c r="H170" s="394">
        <f>('SITE DATA'!$F$26-(0.2*G170))^2/('SITE DATA'!$F$26+(0.8*G170))</f>
        <v>7.4712643678160884E-2</v>
      </c>
      <c r="I170" s="586">
        <f t="shared" si="7"/>
        <v>87</v>
      </c>
      <c r="J170" s="394">
        <f>('SITE DATA'!$F$27-(0.2*G170))^2/('SITE DATA'!$F$27+(0.8*G170))</f>
        <v>7.4712643678160884E-2</v>
      </c>
      <c r="K170" s="586">
        <f t="shared" si="8"/>
        <v>87</v>
      </c>
      <c r="L170" s="394">
        <f>('SITE DATA'!$F$28-(0.2*G170))^2/('SITE DATA'!$F$28+(0.8*G170))</f>
        <v>7.4712643678160884E-2</v>
      </c>
      <c r="M170" s="586">
        <f t="shared" si="9"/>
        <v>87</v>
      </c>
    </row>
    <row r="171" spans="2:13" hidden="1" x14ac:dyDescent="0.2">
      <c r="B171" s="397"/>
      <c r="C171" s="507"/>
      <c r="D171" s="507"/>
      <c r="E171" s="507"/>
      <c r="F171" s="507"/>
      <c r="G171" s="393">
        <f t="shared" si="6"/>
        <v>1.3636363636363633</v>
      </c>
      <c r="H171" s="394">
        <f>('SITE DATA'!$F$26-(0.2*G171))^2/('SITE DATA'!$F$26+(0.8*G171))</f>
        <v>6.8181818181818163E-2</v>
      </c>
      <c r="I171" s="586">
        <f t="shared" si="7"/>
        <v>88</v>
      </c>
      <c r="J171" s="394">
        <f>('SITE DATA'!$F$27-(0.2*G171))^2/('SITE DATA'!$F$27+(0.8*G171))</f>
        <v>6.8181818181818163E-2</v>
      </c>
      <c r="K171" s="586">
        <f t="shared" si="8"/>
        <v>88</v>
      </c>
      <c r="L171" s="394">
        <f>('SITE DATA'!$F$28-(0.2*G171))^2/('SITE DATA'!$F$28+(0.8*G171))</f>
        <v>6.8181818181818163E-2</v>
      </c>
      <c r="M171" s="586">
        <f t="shared" si="9"/>
        <v>88</v>
      </c>
    </row>
    <row r="172" spans="2:13" hidden="1" x14ac:dyDescent="0.2">
      <c r="B172" s="397"/>
      <c r="C172" s="507"/>
      <c r="D172" s="507"/>
      <c r="E172" s="507"/>
      <c r="F172" s="507"/>
      <c r="G172" s="393">
        <f t="shared" si="6"/>
        <v>1.2359550561797761</v>
      </c>
      <c r="H172" s="394">
        <f>('SITE DATA'!$F$26-(0.2*G172))^2/('SITE DATA'!$F$26+(0.8*G172))</f>
        <v>6.1797752808988804E-2</v>
      </c>
      <c r="I172" s="586">
        <f t="shared" si="7"/>
        <v>89</v>
      </c>
      <c r="J172" s="394">
        <f>('SITE DATA'!$F$27-(0.2*G172))^2/('SITE DATA'!$F$27+(0.8*G172))</f>
        <v>6.1797752808988804E-2</v>
      </c>
      <c r="K172" s="586">
        <f t="shared" si="8"/>
        <v>89</v>
      </c>
      <c r="L172" s="394">
        <f>('SITE DATA'!$F$28-(0.2*G172))^2/('SITE DATA'!$F$28+(0.8*G172))</f>
        <v>6.1797752808988804E-2</v>
      </c>
      <c r="M172" s="586">
        <f t="shared" si="9"/>
        <v>89</v>
      </c>
    </row>
    <row r="173" spans="2:13" hidden="1" x14ac:dyDescent="0.2">
      <c r="B173" s="397"/>
      <c r="C173" s="507"/>
      <c r="D173" s="507"/>
      <c r="E173" s="507"/>
      <c r="F173" s="507"/>
      <c r="G173" s="393">
        <f t="shared" si="6"/>
        <v>1.1111111111111107</v>
      </c>
      <c r="H173" s="394">
        <f>('SITE DATA'!$F$26-(0.2*G173))^2/('SITE DATA'!$F$26+(0.8*G173))</f>
        <v>5.5555555555555539E-2</v>
      </c>
      <c r="I173" s="586">
        <f t="shared" si="7"/>
        <v>90</v>
      </c>
      <c r="J173" s="394">
        <f>('SITE DATA'!$F$27-(0.2*G173))^2/('SITE DATA'!$F$27+(0.8*G173))</f>
        <v>5.5555555555555539E-2</v>
      </c>
      <c r="K173" s="586">
        <f t="shared" si="8"/>
        <v>90</v>
      </c>
      <c r="L173" s="394">
        <f>('SITE DATA'!$F$28-(0.2*G173))^2/('SITE DATA'!$F$28+(0.8*G173))</f>
        <v>5.5555555555555539E-2</v>
      </c>
      <c r="M173" s="586">
        <f t="shared" si="9"/>
        <v>90</v>
      </c>
    </row>
    <row r="174" spans="2:13" hidden="1" x14ac:dyDescent="0.2">
      <c r="B174" s="397"/>
      <c r="C174" s="507"/>
      <c r="D174" s="507"/>
      <c r="E174" s="507"/>
      <c r="F174" s="507"/>
      <c r="G174" s="393">
        <f t="shared" si="6"/>
        <v>0.98901098901098905</v>
      </c>
      <c r="H174" s="394">
        <f>('SITE DATA'!$F$26-(0.2*G174))^2/('SITE DATA'!$F$26+(0.8*G174))</f>
        <v>4.9450549450549455E-2</v>
      </c>
      <c r="I174" s="586">
        <f t="shared" si="7"/>
        <v>91</v>
      </c>
      <c r="J174" s="394">
        <f>('SITE DATA'!$F$27-(0.2*G174))^2/('SITE DATA'!$F$27+(0.8*G174))</f>
        <v>4.9450549450549455E-2</v>
      </c>
      <c r="K174" s="586">
        <f t="shared" si="8"/>
        <v>91</v>
      </c>
      <c r="L174" s="394">
        <f>('SITE DATA'!$F$28-(0.2*G174))^2/('SITE DATA'!$F$28+(0.8*G174))</f>
        <v>4.9450549450549455E-2</v>
      </c>
      <c r="M174" s="586">
        <f t="shared" si="9"/>
        <v>91</v>
      </c>
    </row>
    <row r="175" spans="2:13" hidden="1" x14ac:dyDescent="0.2">
      <c r="B175" s="397"/>
      <c r="C175" s="507"/>
      <c r="D175" s="507"/>
      <c r="E175" s="507"/>
      <c r="F175" s="507"/>
      <c r="G175" s="393">
        <f t="shared" si="6"/>
        <v>0.86956521739130466</v>
      </c>
      <c r="H175" s="394">
        <f>('SITE DATA'!$F$26-(0.2*G175))^2/('SITE DATA'!$F$26+(0.8*G175))</f>
        <v>4.3478260869565237E-2</v>
      </c>
      <c r="I175" s="586">
        <f t="shared" si="7"/>
        <v>92</v>
      </c>
      <c r="J175" s="394">
        <f>('SITE DATA'!$F$27-(0.2*G175))^2/('SITE DATA'!$F$27+(0.8*G175))</f>
        <v>4.3478260869565237E-2</v>
      </c>
      <c r="K175" s="586">
        <f t="shared" si="8"/>
        <v>92</v>
      </c>
      <c r="L175" s="394">
        <f>('SITE DATA'!$F$28-(0.2*G175))^2/('SITE DATA'!$F$28+(0.8*G175))</f>
        <v>4.3478260869565237E-2</v>
      </c>
      <c r="M175" s="586">
        <f t="shared" si="9"/>
        <v>92</v>
      </c>
    </row>
    <row r="176" spans="2:13" hidden="1" x14ac:dyDescent="0.2">
      <c r="B176" s="397"/>
      <c r="C176" s="507"/>
      <c r="D176" s="507"/>
      <c r="E176" s="507"/>
      <c r="F176" s="507"/>
      <c r="G176" s="393">
        <f t="shared" si="6"/>
        <v>0.75268817204301008</v>
      </c>
      <c r="H176" s="394">
        <f>('SITE DATA'!$F$26-(0.2*G176))^2/('SITE DATA'!$F$26+(0.8*G176))</f>
        <v>3.7634408602150504E-2</v>
      </c>
      <c r="I176" s="586">
        <f t="shared" si="7"/>
        <v>93</v>
      </c>
      <c r="J176" s="394">
        <f>('SITE DATA'!$F$27-(0.2*G176))^2/('SITE DATA'!$F$27+(0.8*G176))</f>
        <v>3.7634408602150504E-2</v>
      </c>
      <c r="K176" s="586">
        <f t="shared" si="8"/>
        <v>93</v>
      </c>
      <c r="L176" s="394">
        <f>('SITE DATA'!$F$28-(0.2*G176))^2/('SITE DATA'!$F$28+(0.8*G176))</f>
        <v>3.7634408602150504E-2</v>
      </c>
      <c r="M176" s="586">
        <f t="shared" si="9"/>
        <v>93</v>
      </c>
    </row>
    <row r="177" spans="2:14" hidden="1" x14ac:dyDescent="0.2">
      <c r="B177" s="397"/>
      <c r="C177" s="507"/>
      <c r="D177" s="507"/>
      <c r="E177" s="507"/>
      <c r="F177" s="507"/>
      <c r="G177" s="393">
        <f t="shared" si="6"/>
        <v>0.63829787234042534</v>
      </c>
      <c r="H177" s="394">
        <f>('SITE DATA'!$F$26-(0.2*G177))^2/('SITE DATA'!$F$26+(0.8*G177))</f>
        <v>3.1914893617021267E-2</v>
      </c>
      <c r="I177" s="586">
        <f t="shared" si="7"/>
        <v>94</v>
      </c>
      <c r="J177" s="394">
        <f>('SITE DATA'!$F$27-(0.2*G177))^2/('SITE DATA'!$F$27+(0.8*G177))</f>
        <v>3.1914893617021267E-2</v>
      </c>
      <c r="K177" s="586">
        <f t="shared" si="8"/>
        <v>94</v>
      </c>
      <c r="L177" s="394">
        <f>('SITE DATA'!$F$28-(0.2*G177))^2/('SITE DATA'!$F$28+(0.8*G177))</f>
        <v>3.1914893617021267E-2</v>
      </c>
      <c r="M177" s="586">
        <f t="shared" si="9"/>
        <v>94</v>
      </c>
    </row>
    <row r="178" spans="2:14" hidden="1" x14ac:dyDescent="0.2">
      <c r="B178" s="397"/>
      <c r="C178" s="507"/>
      <c r="D178" s="507"/>
      <c r="E178" s="507"/>
      <c r="F178" s="507"/>
      <c r="G178" s="393">
        <f t="shared" si="6"/>
        <v>0.52631578947368496</v>
      </c>
      <c r="H178" s="394">
        <f>('SITE DATA'!$F$26-(0.2*G178))^2/('SITE DATA'!$F$26+(0.8*G178))</f>
        <v>2.6315789473684247E-2</v>
      </c>
      <c r="I178" s="586">
        <f t="shared" si="7"/>
        <v>95</v>
      </c>
      <c r="J178" s="394">
        <f>('SITE DATA'!$F$27-(0.2*G178))^2/('SITE DATA'!$F$27+(0.8*G178))</f>
        <v>2.6315789473684247E-2</v>
      </c>
      <c r="K178" s="586">
        <f t="shared" si="8"/>
        <v>95</v>
      </c>
      <c r="L178" s="394">
        <f>('SITE DATA'!$F$28-(0.2*G178))^2/('SITE DATA'!$F$28+(0.8*G178))</f>
        <v>2.6315789473684247E-2</v>
      </c>
      <c r="M178" s="586">
        <f t="shared" si="9"/>
        <v>95</v>
      </c>
    </row>
    <row r="179" spans="2:14" hidden="1" x14ac:dyDescent="0.2">
      <c r="B179" s="397"/>
      <c r="C179" s="507"/>
      <c r="D179" s="507"/>
      <c r="E179" s="507"/>
      <c r="F179" s="507"/>
      <c r="G179" s="393">
        <f t="shared" si="6"/>
        <v>0.41666666666666607</v>
      </c>
      <c r="H179" s="394">
        <f>('SITE DATA'!$F$26-(0.2*G179))^2/('SITE DATA'!$F$26+(0.8*G179))</f>
        <v>2.0833333333333304E-2</v>
      </c>
      <c r="I179" s="586">
        <f t="shared" si="7"/>
        <v>96</v>
      </c>
      <c r="J179" s="394">
        <f>('SITE DATA'!$F$27-(0.2*G179))^2/('SITE DATA'!$F$27+(0.8*G179))</f>
        <v>2.0833333333333304E-2</v>
      </c>
      <c r="K179" s="586">
        <f t="shared" si="8"/>
        <v>96</v>
      </c>
      <c r="L179" s="394">
        <f>('SITE DATA'!$F$28-(0.2*G179))^2/('SITE DATA'!$F$28+(0.8*G179))</f>
        <v>2.0833333333333304E-2</v>
      </c>
      <c r="M179" s="586">
        <f t="shared" si="9"/>
        <v>96</v>
      </c>
    </row>
    <row r="180" spans="2:14" hidden="1" x14ac:dyDescent="0.2">
      <c r="B180" s="397"/>
      <c r="C180" s="507"/>
      <c r="D180" s="507"/>
      <c r="E180" s="507"/>
      <c r="F180" s="507"/>
      <c r="G180" s="393">
        <f t="shared" si="6"/>
        <v>0.3092783505154646</v>
      </c>
      <c r="H180" s="394">
        <f>('SITE DATA'!$F$26-(0.2*G180))^2/('SITE DATA'!$F$26+(0.8*G180))</f>
        <v>1.5463917525773231E-2</v>
      </c>
      <c r="I180" s="586">
        <f t="shared" si="7"/>
        <v>97</v>
      </c>
      <c r="J180" s="394">
        <f>('SITE DATA'!$F$27-(0.2*G180))^2/('SITE DATA'!$F$27+(0.8*G180))</f>
        <v>1.5463917525773231E-2</v>
      </c>
      <c r="K180" s="586">
        <f t="shared" si="8"/>
        <v>97</v>
      </c>
      <c r="L180" s="394">
        <f>('SITE DATA'!$F$28-(0.2*G180))^2/('SITE DATA'!$F$28+(0.8*G180))</f>
        <v>1.5463917525773231E-2</v>
      </c>
      <c r="M180" s="586">
        <f t="shared" si="9"/>
        <v>97</v>
      </c>
    </row>
    <row r="181" spans="2:14" hidden="1" x14ac:dyDescent="0.2">
      <c r="B181" s="397"/>
      <c r="C181" s="507"/>
      <c r="D181" s="507"/>
      <c r="E181" s="507"/>
      <c r="F181" s="507"/>
      <c r="G181" s="393">
        <f t="shared" si="6"/>
        <v>0.20408163265306101</v>
      </c>
      <c r="H181" s="394">
        <f>('SITE DATA'!$F$26-(0.2*G181))^2/('SITE DATA'!$F$26+(0.8*G181))</f>
        <v>1.0204081632653052E-2</v>
      </c>
      <c r="I181" s="586">
        <f t="shared" si="7"/>
        <v>98</v>
      </c>
      <c r="J181" s="394">
        <f>('SITE DATA'!$F$27-(0.2*G181))^2/('SITE DATA'!$F$27+(0.8*G181))</f>
        <v>1.0204081632653052E-2</v>
      </c>
      <c r="K181" s="586">
        <f t="shared" si="8"/>
        <v>98</v>
      </c>
      <c r="L181" s="394">
        <f>('SITE DATA'!$F$28-(0.2*G181))^2/('SITE DATA'!$F$28+(0.8*G181))</f>
        <v>1.0204081632653052E-2</v>
      </c>
      <c r="M181" s="586">
        <f t="shared" si="9"/>
        <v>98</v>
      </c>
    </row>
    <row r="182" spans="2:14" hidden="1" x14ac:dyDescent="0.2">
      <c r="B182" s="397"/>
      <c r="C182" s="507"/>
      <c r="D182" s="507"/>
      <c r="E182" s="507"/>
      <c r="F182" s="507"/>
      <c r="G182" s="507"/>
      <c r="H182" s="507"/>
      <c r="I182" s="507"/>
      <c r="J182" s="507"/>
      <c r="K182" s="573"/>
      <c r="L182" s="507"/>
      <c r="M182" s="507"/>
      <c r="N182" s="507"/>
    </row>
    <row r="183" spans="2:14" hidden="1" x14ac:dyDescent="0.2">
      <c r="B183" s="397"/>
      <c r="C183" s="507"/>
      <c r="D183" s="507"/>
      <c r="E183" s="507"/>
      <c r="F183" s="507"/>
      <c r="G183" s="507"/>
      <c r="H183" s="507"/>
      <c r="I183" s="507"/>
      <c r="J183" s="507"/>
      <c r="K183" s="573"/>
      <c r="L183" s="507"/>
      <c r="M183" s="507"/>
      <c r="N183" s="507"/>
    </row>
    <row r="184" spans="2:14" hidden="1" x14ac:dyDescent="0.2">
      <c r="B184" s="397"/>
      <c r="C184" s="507"/>
      <c r="D184" s="507"/>
      <c r="E184" s="507"/>
      <c r="F184" s="507"/>
      <c r="G184" s="507"/>
      <c r="H184" s="507"/>
      <c r="I184" s="507"/>
      <c r="J184" s="507"/>
      <c r="K184" s="573"/>
      <c r="L184" s="507"/>
      <c r="M184" s="507"/>
      <c r="N184" s="507"/>
    </row>
    <row r="185" spans="2:14" hidden="1" x14ac:dyDescent="0.2">
      <c r="B185" s="397"/>
      <c r="C185" s="507"/>
      <c r="D185" s="507"/>
      <c r="E185" s="507"/>
      <c r="F185" s="507"/>
      <c r="G185" s="507"/>
      <c r="H185" s="507"/>
      <c r="I185" s="507"/>
      <c r="J185" s="507"/>
      <c r="K185" s="573"/>
      <c r="L185" s="507"/>
      <c r="M185" s="507"/>
      <c r="N185" s="507"/>
    </row>
    <row r="186" spans="2:14" hidden="1" x14ac:dyDescent="0.2">
      <c r="B186" s="397"/>
      <c r="C186" s="507"/>
      <c r="D186" s="507"/>
      <c r="E186" s="507"/>
      <c r="F186" s="507"/>
      <c r="G186" s="507"/>
      <c r="H186" s="507"/>
      <c r="I186" s="507"/>
      <c r="J186" s="507"/>
      <c r="K186" s="573"/>
      <c r="L186" s="507"/>
      <c r="M186" s="507"/>
      <c r="N186" s="507"/>
    </row>
    <row r="187" spans="2:14" hidden="1" x14ac:dyDescent="0.2">
      <c r="B187" s="397"/>
      <c r="C187" s="507"/>
      <c r="D187" s="507"/>
      <c r="E187" s="507"/>
      <c r="F187" s="507"/>
      <c r="G187" s="507"/>
      <c r="H187" s="507"/>
      <c r="I187" s="507"/>
      <c r="J187" s="507"/>
      <c r="K187" s="573"/>
      <c r="L187" s="507"/>
      <c r="M187" s="507"/>
      <c r="N187" s="507"/>
    </row>
    <row r="188" spans="2:14" hidden="1" x14ac:dyDescent="0.2">
      <c r="B188" s="397"/>
      <c r="C188" s="507"/>
      <c r="D188" s="507"/>
      <c r="E188" s="507"/>
      <c r="F188" s="507"/>
      <c r="G188" s="507"/>
      <c r="H188" s="507"/>
      <c r="I188" s="507"/>
      <c r="J188" s="507"/>
      <c r="K188" s="573"/>
      <c r="L188" s="507"/>
      <c r="M188" s="507"/>
      <c r="N188" s="507"/>
    </row>
    <row r="189" spans="2:14" hidden="1" x14ac:dyDescent="0.2">
      <c r="B189" s="397"/>
      <c r="C189" s="507"/>
      <c r="D189" s="507"/>
      <c r="E189" s="507"/>
      <c r="F189" s="507"/>
      <c r="G189" s="507"/>
      <c r="H189" s="507"/>
      <c r="I189" s="507"/>
      <c r="J189" s="507"/>
      <c r="K189" s="573"/>
      <c r="L189" s="507"/>
      <c r="M189" s="507"/>
      <c r="N189" s="507"/>
    </row>
    <row r="190" spans="2:14" hidden="1" x14ac:dyDescent="0.2">
      <c r="B190" s="397"/>
      <c r="C190" s="507"/>
      <c r="D190" s="507"/>
      <c r="E190" s="507"/>
      <c r="F190" s="507"/>
      <c r="G190" s="507"/>
      <c r="H190" s="507"/>
      <c r="I190" s="507"/>
      <c r="J190" s="507"/>
      <c r="K190" s="573"/>
      <c r="L190" s="507"/>
      <c r="M190" s="507"/>
      <c r="N190" s="507"/>
    </row>
    <row r="191" spans="2:14" hidden="1" x14ac:dyDescent="0.2">
      <c r="B191" s="397"/>
      <c r="C191" s="507"/>
      <c r="D191" s="507"/>
      <c r="E191" s="507"/>
      <c r="F191" s="507"/>
      <c r="G191" s="507"/>
      <c r="H191" s="507"/>
      <c r="I191" s="507"/>
      <c r="J191" s="507"/>
      <c r="K191" s="573"/>
      <c r="L191" s="507"/>
      <c r="M191" s="507"/>
      <c r="N191" s="507"/>
    </row>
    <row r="192" spans="2:14" hidden="1" x14ac:dyDescent="0.2">
      <c r="B192" s="397"/>
      <c r="C192" s="507"/>
      <c r="D192" s="507"/>
      <c r="E192" s="507"/>
      <c r="F192" s="507"/>
      <c r="G192" s="507"/>
      <c r="H192" s="507"/>
      <c r="I192" s="507"/>
      <c r="J192" s="507"/>
      <c r="K192" s="573"/>
      <c r="L192" s="507"/>
      <c r="M192" s="507"/>
      <c r="N192" s="507"/>
    </row>
    <row r="193" spans="1:27" hidden="1" x14ac:dyDescent="0.2">
      <c r="B193" s="397"/>
      <c r="C193" s="507"/>
      <c r="D193" s="507"/>
      <c r="E193" s="507"/>
      <c r="F193" s="507"/>
      <c r="G193" s="507"/>
      <c r="H193" s="507"/>
      <c r="I193" s="507"/>
      <c r="J193" s="507"/>
      <c r="K193" s="573"/>
      <c r="L193" s="507"/>
      <c r="M193" s="507"/>
      <c r="N193" s="507"/>
    </row>
    <row r="194" spans="1:27" hidden="1" x14ac:dyDescent="0.2">
      <c r="B194" s="397"/>
      <c r="C194" s="507"/>
      <c r="D194" s="507"/>
      <c r="E194" s="507"/>
      <c r="F194" s="507"/>
      <c r="G194" s="507"/>
      <c r="H194" s="507"/>
      <c r="I194" s="507"/>
      <c r="J194" s="507"/>
      <c r="K194" s="573"/>
      <c r="L194" s="507"/>
      <c r="M194" s="507"/>
      <c r="N194" s="507"/>
    </row>
    <row r="195" spans="1:27" hidden="1" x14ac:dyDescent="0.2">
      <c r="B195" s="397"/>
      <c r="C195" s="507"/>
      <c r="D195" s="507"/>
      <c r="E195" s="507"/>
      <c r="F195" s="507"/>
      <c r="G195" s="507"/>
      <c r="H195" s="507"/>
      <c r="I195" s="507"/>
      <c r="J195" s="507"/>
      <c r="K195" s="573"/>
      <c r="L195" s="507"/>
      <c r="M195" s="507"/>
      <c r="N195" s="507"/>
    </row>
    <row r="196" spans="1:27" hidden="1" x14ac:dyDescent="0.2">
      <c r="B196" s="397"/>
      <c r="C196" s="507"/>
      <c r="D196" s="507"/>
      <c r="E196" s="507"/>
      <c r="F196" s="507"/>
      <c r="G196" s="507"/>
      <c r="H196" s="507"/>
      <c r="I196" s="507"/>
      <c r="J196" s="507"/>
      <c r="K196" s="573"/>
      <c r="L196" s="507"/>
      <c r="M196" s="507"/>
      <c r="N196" s="507"/>
    </row>
    <row r="197" spans="1:27" hidden="1" x14ac:dyDescent="0.2">
      <c r="B197" s="507"/>
      <c r="C197" s="507"/>
      <c r="D197" s="507"/>
      <c r="E197" s="507"/>
      <c r="F197" s="507"/>
      <c r="G197" s="507"/>
      <c r="H197" s="507"/>
      <c r="I197" s="507"/>
      <c r="J197" s="507"/>
      <c r="K197" s="573"/>
      <c r="L197" s="507"/>
      <c r="M197" s="507"/>
      <c r="N197" s="507"/>
    </row>
    <row r="198" spans="1:27" hidden="1" x14ac:dyDescent="0.2">
      <c r="B198" s="507"/>
      <c r="C198" s="507"/>
      <c r="D198" s="507"/>
      <c r="E198" s="507"/>
      <c r="F198" s="507"/>
      <c r="G198" s="507"/>
      <c r="H198" s="507"/>
      <c r="I198" s="507"/>
      <c r="J198" s="507"/>
      <c r="K198" s="573"/>
      <c r="L198" s="507"/>
      <c r="M198" s="507"/>
      <c r="N198" s="507"/>
    </row>
    <row r="199" spans="1:27" hidden="1" x14ac:dyDescent="0.2">
      <c r="B199" s="507"/>
      <c r="C199" s="507"/>
      <c r="D199" s="507"/>
      <c r="E199" s="507"/>
      <c r="F199" s="507"/>
      <c r="G199" s="507"/>
      <c r="H199" s="507"/>
      <c r="I199" s="507"/>
      <c r="J199" s="507"/>
      <c r="K199" s="573"/>
      <c r="L199" s="507"/>
      <c r="M199" s="507"/>
      <c r="N199" s="507"/>
    </row>
    <row r="200" spans="1:27" hidden="1" x14ac:dyDescent="0.2">
      <c r="B200" s="507"/>
      <c r="C200" s="507"/>
      <c r="D200" s="507"/>
      <c r="E200" s="507"/>
      <c r="F200" s="507"/>
      <c r="G200" s="507"/>
      <c r="H200" s="507"/>
      <c r="I200" s="507"/>
      <c r="J200" s="507"/>
      <c r="K200" s="573"/>
      <c r="L200" s="507"/>
      <c r="M200" s="507"/>
      <c r="N200" s="507"/>
    </row>
    <row r="201" spans="1:27" hidden="1" x14ac:dyDescent="0.2">
      <c r="B201" s="507"/>
      <c r="C201" s="507"/>
      <c r="D201" s="507"/>
      <c r="E201" s="507"/>
      <c r="F201" s="507"/>
      <c r="G201" s="507"/>
      <c r="H201" s="507"/>
      <c r="I201" s="507"/>
      <c r="J201" s="507"/>
      <c r="K201" s="573"/>
      <c r="L201" s="507"/>
      <c r="M201" s="507"/>
      <c r="N201" s="507"/>
    </row>
    <row r="202" spans="1:27" hidden="1" x14ac:dyDescent="0.2">
      <c r="B202" s="507"/>
      <c r="C202" s="507"/>
      <c r="D202" s="507"/>
      <c r="E202" s="507"/>
      <c r="F202" s="507"/>
      <c r="G202" s="507"/>
      <c r="H202" s="507"/>
      <c r="I202" s="507"/>
      <c r="J202" s="507"/>
      <c r="K202" s="573"/>
      <c r="L202" s="507"/>
      <c r="M202" s="507"/>
      <c r="N202" s="507"/>
    </row>
    <row r="203" spans="1:27" hidden="1" x14ac:dyDescent="0.2">
      <c r="B203" s="507"/>
      <c r="C203" s="507"/>
      <c r="D203" s="507"/>
      <c r="E203" s="507"/>
      <c r="F203" s="507"/>
      <c r="G203" s="507"/>
      <c r="H203" s="507"/>
      <c r="I203" s="507"/>
      <c r="J203" s="507"/>
      <c r="K203" s="573"/>
      <c r="L203" s="507"/>
      <c r="M203" s="507"/>
      <c r="N203" s="507"/>
    </row>
    <row r="204" spans="1:27" hidden="1" x14ac:dyDescent="0.2">
      <c r="B204" s="507"/>
      <c r="C204" s="507"/>
      <c r="D204" s="507"/>
      <c r="E204" s="507"/>
      <c r="F204" s="507"/>
      <c r="G204" s="507"/>
      <c r="H204" s="507"/>
      <c r="I204" s="507"/>
      <c r="J204" s="507"/>
      <c r="K204" s="573"/>
      <c r="L204" s="507"/>
      <c r="M204" s="507"/>
      <c r="N204" s="507"/>
    </row>
    <row r="205" spans="1:27" hidden="1" x14ac:dyDescent="0.2">
      <c r="B205" s="507"/>
      <c r="C205" s="507"/>
      <c r="D205" s="507"/>
      <c r="E205" s="507"/>
      <c r="F205" s="507"/>
      <c r="G205" s="507"/>
      <c r="H205" s="507"/>
      <c r="I205" s="507"/>
      <c r="J205" s="507"/>
      <c r="K205" s="573"/>
      <c r="L205" s="507"/>
      <c r="M205" s="507"/>
      <c r="N205" s="507"/>
    </row>
    <row r="206" spans="1:27" ht="15.75" hidden="1" x14ac:dyDescent="0.2">
      <c r="B206" s="576"/>
      <c r="C206" s="576"/>
      <c r="D206" s="576"/>
      <c r="E206" s="576"/>
      <c r="F206" s="577"/>
      <c r="G206" s="577"/>
      <c r="H206" s="577"/>
      <c r="I206" s="577"/>
      <c r="J206" s="577"/>
      <c r="K206" s="577"/>
      <c r="L206" s="577"/>
      <c r="M206" s="577"/>
      <c r="N206" s="507"/>
      <c r="Z206" s="507"/>
      <c r="AA206" s="507"/>
    </row>
    <row r="207" spans="1:27" s="523" customFormat="1" x14ac:dyDescent="0.2">
      <c r="A207" s="737" t="s">
        <v>449</v>
      </c>
      <c r="B207" s="737"/>
      <c r="C207" s="737"/>
      <c r="D207" s="737"/>
      <c r="E207" s="737"/>
      <c r="F207" s="737"/>
      <c r="G207" s="737"/>
      <c r="H207" s="737"/>
      <c r="I207" s="737"/>
      <c r="J207" s="737"/>
      <c r="K207" s="737"/>
      <c r="L207" s="737"/>
      <c r="M207" s="507"/>
    </row>
    <row r="208" spans="1:27" x14ac:dyDescent="0.2">
      <c r="A208" s="737"/>
      <c r="B208" s="737"/>
      <c r="C208" s="737"/>
      <c r="D208" s="737"/>
      <c r="E208" s="737"/>
      <c r="F208" s="737"/>
      <c r="G208" s="737"/>
      <c r="H208" s="737"/>
      <c r="I208" s="737"/>
      <c r="J208" s="737"/>
      <c r="K208" s="737"/>
      <c r="L208" s="737"/>
      <c r="M208" s="507"/>
      <c r="N208" s="507"/>
      <c r="Z208" s="507"/>
    </row>
    <row r="209" spans="1:26" ht="15.75" x14ac:dyDescent="0.2">
      <c r="A209" s="738" t="s">
        <v>436</v>
      </c>
      <c r="B209" s="738"/>
      <c r="C209" s="738"/>
      <c r="D209" s="738"/>
      <c r="E209" s="738"/>
      <c r="F209" s="738"/>
      <c r="G209" s="738"/>
      <c r="H209" s="738"/>
      <c r="I209" s="738"/>
      <c r="J209" s="738"/>
      <c r="K209" s="738"/>
      <c r="L209" s="738"/>
      <c r="M209" s="507"/>
      <c r="N209" s="507"/>
      <c r="Z209" s="507"/>
    </row>
    <row r="210" spans="1:26" x14ac:dyDescent="0.2">
      <c r="A210" s="737" t="s">
        <v>450</v>
      </c>
      <c r="B210" s="737"/>
      <c r="C210" s="737"/>
      <c r="D210" s="737"/>
      <c r="E210" s="737"/>
      <c r="F210" s="737"/>
      <c r="G210" s="737"/>
      <c r="H210" s="737"/>
      <c r="I210" s="737"/>
      <c r="J210" s="737"/>
      <c r="K210" s="737"/>
      <c r="L210" s="737"/>
      <c r="M210" s="507"/>
      <c r="N210" s="507"/>
      <c r="Z210" s="507"/>
    </row>
    <row r="211" spans="1:26" x14ac:dyDescent="0.2">
      <c r="A211" s="737"/>
      <c r="B211" s="737"/>
      <c r="C211" s="737"/>
      <c r="D211" s="737"/>
      <c r="E211" s="737"/>
      <c r="F211" s="737"/>
      <c r="G211" s="737"/>
      <c r="H211" s="737"/>
      <c r="I211" s="737"/>
      <c r="J211" s="737"/>
      <c r="K211" s="737"/>
      <c r="L211" s="737"/>
      <c r="M211" s="507"/>
      <c r="N211" s="507"/>
      <c r="Z211" s="507"/>
    </row>
    <row r="212" spans="1:26" ht="15.75" x14ac:dyDescent="0.2">
      <c r="A212" s="738" t="s">
        <v>436</v>
      </c>
      <c r="B212" s="738"/>
      <c r="C212" s="738"/>
      <c r="D212" s="738"/>
      <c r="E212" s="738"/>
      <c r="F212" s="738"/>
      <c r="G212" s="738"/>
      <c r="H212" s="738"/>
      <c r="I212" s="738"/>
      <c r="J212" s="738"/>
      <c r="K212" s="738"/>
      <c r="L212" s="738"/>
      <c r="M212" s="507"/>
      <c r="N212" s="507"/>
      <c r="Z212" s="507"/>
    </row>
    <row r="213" spans="1:26" x14ac:dyDescent="0.2">
      <c r="A213" s="737" t="s">
        <v>451</v>
      </c>
      <c r="B213" s="737"/>
      <c r="C213" s="737"/>
      <c r="D213" s="737"/>
      <c r="E213" s="737"/>
      <c r="F213" s="737"/>
      <c r="G213" s="737"/>
      <c r="H213" s="737"/>
      <c r="I213" s="737"/>
      <c r="J213" s="737"/>
      <c r="K213" s="737"/>
      <c r="L213" s="737"/>
      <c r="M213" s="507"/>
      <c r="N213" s="507"/>
      <c r="Z213" s="507"/>
    </row>
    <row r="214" spans="1:26" x14ac:dyDescent="0.2">
      <c r="A214" s="737"/>
      <c r="B214" s="737"/>
      <c r="C214" s="737"/>
      <c r="D214" s="737"/>
      <c r="E214" s="737"/>
      <c r="F214" s="737"/>
      <c r="G214" s="737"/>
      <c r="H214" s="737"/>
      <c r="I214" s="737"/>
      <c r="J214" s="737"/>
      <c r="K214" s="737"/>
      <c r="L214" s="737"/>
      <c r="M214" s="507"/>
      <c r="N214" s="507"/>
      <c r="Z214" s="507"/>
    </row>
    <row r="215" spans="1:26" x14ac:dyDescent="0.2">
      <c r="B215" s="507"/>
      <c r="C215" s="507"/>
      <c r="D215" s="507"/>
      <c r="E215" s="507"/>
      <c r="F215" s="507"/>
      <c r="G215" s="507"/>
      <c r="H215" s="507"/>
      <c r="I215" s="507"/>
      <c r="J215" s="507"/>
      <c r="K215" s="573"/>
      <c r="L215" s="507"/>
      <c r="M215" s="507"/>
      <c r="N215" s="507"/>
    </row>
    <row r="216" spans="1:26" x14ac:dyDescent="0.2">
      <c r="B216" s="507"/>
      <c r="C216" s="507"/>
      <c r="D216" s="507"/>
      <c r="E216" s="507"/>
      <c r="F216" s="507"/>
      <c r="G216" s="507"/>
      <c r="H216" s="507"/>
      <c r="I216" s="507"/>
      <c r="J216" s="507"/>
      <c r="K216" s="573"/>
      <c r="L216" s="507"/>
      <c r="M216" s="507"/>
      <c r="N216" s="507"/>
    </row>
    <row r="217" spans="1:26" x14ac:dyDescent="0.2">
      <c r="B217" s="507"/>
      <c r="C217" s="507"/>
      <c r="D217" s="507"/>
      <c r="E217" s="507"/>
      <c r="F217" s="507"/>
      <c r="G217" s="507"/>
      <c r="H217" s="507"/>
      <c r="I217" s="507"/>
      <c r="J217" s="507"/>
      <c r="K217" s="573"/>
      <c r="L217" s="507"/>
      <c r="M217" s="507"/>
      <c r="N217" s="507"/>
    </row>
    <row r="218" spans="1:26" x14ac:dyDescent="0.2">
      <c r="B218" s="507"/>
      <c r="C218" s="507"/>
      <c r="D218" s="507"/>
      <c r="E218" s="507"/>
      <c r="F218" s="507"/>
      <c r="G218" s="507"/>
      <c r="H218" s="507"/>
      <c r="I218" s="507"/>
      <c r="J218" s="507"/>
      <c r="K218" s="573"/>
      <c r="L218" s="507"/>
      <c r="M218" s="507"/>
      <c r="N218" s="507"/>
    </row>
    <row r="219" spans="1:26" x14ac:dyDescent="0.2">
      <c r="B219" s="507"/>
      <c r="C219" s="507"/>
      <c r="D219" s="507"/>
      <c r="E219" s="507"/>
      <c r="F219" s="507"/>
      <c r="G219" s="507"/>
      <c r="H219" s="507"/>
      <c r="I219" s="507"/>
      <c r="J219" s="507"/>
      <c r="K219" s="573"/>
      <c r="L219" s="507"/>
      <c r="M219" s="507"/>
      <c r="N219" s="507"/>
    </row>
    <row r="220" spans="1:26" x14ac:dyDescent="0.2">
      <c r="B220" s="507"/>
      <c r="C220" s="507"/>
      <c r="D220" s="507"/>
      <c r="E220" s="507"/>
      <c r="F220" s="507"/>
      <c r="G220" s="507"/>
      <c r="H220" s="507"/>
      <c r="I220" s="507"/>
      <c r="J220" s="507"/>
      <c r="K220" s="573"/>
      <c r="L220" s="507"/>
      <c r="M220" s="507"/>
      <c r="N220" s="507"/>
    </row>
    <row r="221" spans="1:26" x14ac:dyDescent="0.2">
      <c r="B221" s="507"/>
      <c r="C221" s="507"/>
      <c r="D221" s="507"/>
      <c r="E221" s="507"/>
      <c r="F221" s="507"/>
      <c r="G221" s="507"/>
      <c r="H221" s="507"/>
      <c r="I221" s="507"/>
      <c r="J221" s="507"/>
      <c r="K221" s="573"/>
      <c r="L221" s="507"/>
      <c r="M221" s="507"/>
      <c r="N221" s="507"/>
    </row>
    <row r="222" spans="1:26" x14ac:dyDescent="0.2">
      <c r="B222" s="507"/>
      <c r="C222" s="507"/>
      <c r="D222" s="507"/>
      <c r="E222" s="507"/>
      <c r="F222" s="507"/>
      <c r="G222" s="507"/>
      <c r="H222" s="507"/>
      <c r="I222" s="507"/>
      <c r="J222" s="507"/>
      <c r="K222" s="573"/>
      <c r="L222" s="507"/>
      <c r="M222" s="507"/>
      <c r="N222" s="507"/>
    </row>
    <row r="223" spans="1:26" x14ac:dyDescent="0.2">
      <c r="B223" s="507"/>
      <c r="C223" s="507"/>
      <c r="D223" s="507"/>
      <c r="E223" s="507"/>
      <c r="F223" s="507"/>
      <c r="G223" s="507"/>
      <c r="H223" s="507"/>
      <c r="I223" s="507"/>
      <c r="J223" s="507"/>
      <c r="K223" s="573"/>
      <c r="L223" s="507"/>
      <c r="M223" s="507"/>
      <c r="N223" s="507"/>
    </row>
    <row r="224" spans="1:26" x14ac:dyDescent="0.2">
      <c r="B224" s="507"/>
      <c r="C224" s="507"/>
      <c r="D224" s="507"/>
      <c r="E224" s="507"/>
      <c r="F224" s="507"/>
      <c r="G224" s="507"/>
      <c r="H224" s="507"/>
      <c r="I224" s="507"/>
      <c r="J224" s="507"/>
      <c r="K224" s="573"/>
      <c r="L224" s="507"/>
      <c r="M224" s="507"/>
      <c r="N224" s="507"/>
    </row>
    <row r="225" spans="2:14" x14ac:dyDescent="0.2">
      <c r="B225" s="507"/>
      <c r="C225" s="507"/>
      <c r="D225" s="507"/>
      <c r="E225" s="507"/>
      <c r="F225" s="507"/>
      <c r="G225" s="507"/>
      <c r="H225" s="507"/>
      <c r="I225" s="507"/>
      <c r="J225" s="507"/>
      <c r="K225" s="573"/>
      <c r="L225" s="507"/>
      <c r="M225" s="507"/>
      <c r="N225" s="507"/>
    </row>
    <row r="226" spans="2:14" x14ac:dyDescent="0.2">
      <c r="B226" s="507"/>
      <c r="C226" s="507"/>
      <c r="D226" s="507"/>
      <c r="E226" s="507"/>
      <c r="F226" s="507"/>
      <c r="G226" s="507"/>
      <c r="H226" s="507"/>
      <c r="I226" s="507"/>
      <c r="J226" s="507"/>
      <c r="K226" s="573"/>
      <c r="L226" s="507"/>
      <c r="M226" s="507"/>
      <c r="N226" s="507"/>
    </row>
    <row r="227" spans="2:14" x14ac:dyDescent="0.2">
      <c r="B227" s="507"/>
      <c r="C227" s="507"/>
      <c r="D227" s="507"/>
      <c r="E227" s="507"/>
      <c r="F227" s="507"/>
      <c r="G227" s="507"/>
      <c r="H227" s="507"/>
      <c r="I227" s="507"/>
      <c r="J227" s="507"/>
      <c r="K227" s="573"/>
      <c r="L227" s="507"/>
      <c r="M227" s="507"/>
      <c r="N227" s="507"/>
    </row>
    <row r="228" spans="2:14" x14ac:dyDescent="0.2">
      <c r="B228" s="507"/>
      <c r="C228" s="507"/>
      <c r="D228" s="507"/>
      <c r="E228" s="507"/>
      <c r="F228" s="507"/>
      <c r="G228" s="507"/>
      <c r="H228" s="507"/>
      <c r="I228" s="507"/>
      <c r="J228" s="507"/>
      <c r="K228" s="573"/>
      <c r="L228" s="507"/>
      <c r="M228" s="507"/>
      <c r="N228" s="507"/>
    </row>
    <row r="229" spans="2:14" x14ac:dyDescent="0.2">
      <c r="B229" s="507"/>
      <c r="C229" s="507"/>
      <c r="D229" s="507"/>
      <c r="E229" s="507"/>
      <c r="F229" s="507"/>
      <c r="G229" s="507"/>
      <c r="H229" s="507"/>
      <c r="I229" s="507"/>
      <c r="J229" s="507"/>
      <c r="K229" s="573"/>
      <c r="L229" s="507"/>
      <c r="M229" s="507"/>
      <c r="N229" s="507"/>
    </row>
    <row r="230" spans="2:14" x14ac:dyDescent="0.2">
      <c r="B230" s="507"/>
      <c r="C230" s="507"/>
      <c r="D230" s="507"/>
      <c r="E230" s="507"/>
      <c r="F230" s="507"/>
      <c r="G230" s="507"/>
      <c r="H230" s="507"/>
      <c r="I230" s="507"/>
      <c r="J230" s="507"/>
      <c r="K230" s="573"/>
      <c r="L230" s="507"/>
      <c r="M230" s="507"/>
      <c r="N230" s="507"/>
    </row>
    <row r="231" spans="2:14" x14ac:dyDescent="0.2">
      <c r="B231" s="507"/>
      <c r="C231" s="507"/>
      <c r="D231" s="507"/>
      <c r="E231" s="507"/>
      <c r="F231" s="507"/>
      <c r="G231" s="507"/>
      <c r="H231" s="507"/>
      <c r="I231" s="507"/>
      <c r="J231" s="507"/>
      <c r="K231" s="573"/>
      <c r="L231" s="507"/>
      <c r="M231" s="507"/>
      <c r="N231" s="507"/>
    </row>
    <row r="232" spans="2:14" x14ac:dyDescent="0.2">
      <c r="B232" s="507"/>
      <c r="C232" s="507"/>
      <c r="D232" s="507"/>
      <c r="E232" s="507"/>
      <c r="F232" s="507"/>
      <c r="G232" s="507"/>
      <c r="H232" s="507"/>
      <c r="I232" s="507"/>
      <c r="J232" s="507"/>
      <c r="K232" s="573"/>
      <c r="L232" s="507"/>
      <c r="M232" s="507"/>
      <c r="N232" s="507"/>
    </row>
    <row r="233" spans="2:14" s="507" customFormat="1" x14ac:dyDescent="0.2">
      <c r="K233" s="573"/>
    </row>
    <row r="234" spans="2:14" s="507" customFormat="1" x14ac:dyDescent="0.2">
      <c r="K234" s="573"/>
    </row>
    <row r="235" spans="2:14" s="507" customFormat="1" x14ac:dyDescent="0.2">
      <c r="K235" s="573"/>
    </row>
    <row r="236" spans="2:14" s="507" customFormat="1" x14ac:dyDescent="0.2">
      <c r="K236" s="573"/>
    </row>
    <row r="237" spans="2:14" s="507" customFormat="1" x14ac:dyDescent="0.2">
      <c r="K237" s="573"/>
    </row>
    <row r="238" spans="2:14" s="507" customFormat="1" x14ac:dyDescent="0.2">
      <c r="K238" s="573"/>
    </row>
    <row r="239" spans="2:14" s="507" customFormat="1" x14ac:dyDescent="0.2">
      <c r="K239" s="573"/>
    </row>
    <row r="240" spans="2:14" s="507" customFormat="1" x14ac:dyDescent="0.2">
      <c r="K240" s="573"/>
    </row>
    <row r="241" spans="11:11" s="507" customFormat="1" x14ac:dyDescent="0.2">
      <c r="K241" s="573"/>
    </row>
    <row r="242" spans="11:11" s="507" customFormat="1" x14ac:dyDescent="0.2">
      <c r="K242" s="573"/>
    </row>
    <row r="243" spans="11:11" s="507" customFormat="1" x14ac:dyDescent="0.2">
      <c r="K243" s="573"/>
    </row>
    <row r="244" spans="11:11" s="507" customFormat="1" x14ac:dyDescent="0.2">
      <c r="K244" s="573"/>
    </row>
    <row r="245" spans="11:11" s="507" customFormat="1" x14ac:dyDescent="0.2">
      <c r="K245" s="573"/>
    </row>
    <row r="246" spans="11:11" s="507" customFormat="1" x14ac:dyDescent="0.2">
      <c r="K246" s="573"/>
    </row>
    <row r="247" spans="11:11" s="507" customFormat="1" x14ac:dyDescent="0.2">
      <c r="K247" s="573"/>
    </row>
    <row r="248" spans="11:11" s="507" customFormat="1" x14ac:dyDescent="0.2">
      <c r="K248" s="573"/>
    </row>
    <row r="249" spans="11:11" s="507" customFormat="1" x14ac:dyDescent="0.2">
      <c r="K249" s="573"/>
    </row>
    <row r="250" spans="11:11" s="507" customFormat="1" x14ac:dyDescent="0.2">
      <c r="K250" s="573"/>
    </row>
    <row r="251" spans="11:11" s="507" customFormat="1" x14ac:dyDescent="0.2">
      <c r="K251" s="573"/>
    </row>
    <row r="252" spans="11:11" s="507" customFormat="1" x14ac:dyDescent="0.2">
      <c r="K252" s="573"/>
    </row>
    <row r="253" spans="11:11" s="507" customFormat="1" x14ac:dyDescent="0.2">
      <c r="K253" s="573"/>
    </row>
    <row r="254" spans="11:11" s="507" customFormat="1" x14ac:dyDescent="0.2">
      <c r="K254" s="573"/>
    </row>
    <row r="255" spans="11:11" s="507" customFormat="1" x14ac:dyDescent="0.2">
      <c r="K255" s="573"/>
    </row>
    <row r="256" spans="11:11" s="507" customFormat="1" x14ac:dyDescent="0.2">
      <c r="K256" s="573"/>
    </row>
    <row r="257" spans="11:11" s="507" customFormat="1" x14ac:dyDescent="0.2">
      <c r="K257" s="573"/>
    </row>
    <row r="258" spans="11:11" s="507" customFormat="1" x14ac:dyDescent="0.2">
      <c r="K258" s="573"/>
    </row>
    <row r="259" spans="11:11" s="507" customFormat="1" x14ac:dyDescent="0.2">
      <c r="K259" s="573"/>
    </row>
    <row r="260" spans="11:11" s="507" customFormat="1" x14ac:dyDescent="0.2">
      <c r="K260" s="573"/>
    </row>
    <row r="261" spans="11:11" s="507" customFormat="1" x14ac:dyDescent="0.2">
      <c r="K261" s="573"/>
    </row>
    <row r="262" spans="11:11" s="507" customFormat="1" x14ac:dyDescent="0.2">
      <c r="K262" s="573"/>
    </row>
    <row r="263" spans="11:11" s="507" customFormat="1" x14ac:dyDescent="0.2">
      <c r="K263" s="573"/>
    </row>
    <row r="264" spans="11:11" s="507" customFormat="1" x14ac:dyDescent="0.2">
      <c r="K264" s="573"/>
    </row>
    <row r="265" spans="11:11" s="507" customFormat="1" x14ac:dyDescent="0.2">
      <c r="K265" s="573"/>
    </row>
    <row r="266" spans="11:11" s="507" customFormat="1" x14ac:dyDescent="0.2">
      <c r="K266" s="573"/>
    </row>
    <row r="267" spans="11:11" s="507" customFormat="1" x14ac:dyDescent="0.2">
      <c r="K267" s="573"/>
    </row>
    <row r="268" spans="11:11" s="507" customFormat="1" x14ac:dyDescent="0.2">
      <c r="K268" s="573"/>
    </row>
    <row r="269" spans="11:11" s="507" customFormat="1" x14ac:dyDescent="0.2">
      <c r="K269" s="573"/>
    </row>
    <row r="270" spans="11:11" s="507" customFormat="1" x14ac:dyDescent="0.2">
      <c r="K270" s="573"/>
    </row>
    <row r="271" spans="11:11" s="507" customFormat="1" x14ac:dyDescent="0.2">
      <c r="K271" s="573"/>
    </row>
    <row r="272" spans="11:11" s="507" customFormat="1" x14ac:dyDescent="0.2">
      <c r="K272" s="573"/>
    </row>
    <row r="273" spans="11:11" s="507" customFormat="1" x14ac:dyDescent="0.2">
      <c r="K273" s="573"/>
    </row>
    <row r="274" spans="11:11" s="507" customFormat="1" x14ac:dyDescent="0.2">
      <c r="K274" s="573"/>
    </row>
    <row r="275" spans="11:11" s="507" customFormat="1" x14ac:dyDescent="0.2">
      <c r="K275" s="573"/>
    </row>
    <row r="276" spans="11:11" s="507" customFormat="1" x14ac:dyDescent="0.2">
      <c r="K276" s="573"/>
    </row>
    <row r="277" spans="11:11" s="507" customFormat="1" x14ac:dyDescent="0.2">
      <c r="K277" s="573"/>
    </row>
    <row r="278" spans="11:11" s="507" customFormat="1" x14ac:dyDescent="0.2">
      <c r="K278" s="573"/>
    </row>
    <row r="279" spans="11:11" s="507" customFormat="1" x14ac:dyDescent="0.2">
      <c r="K279" s="573"/>
    </row>
    <row r="280" spans="11:11" s="507" customFormat="1" x14ac:dyDescent="0.2">
      <c r="K280" s="573"/>
    </row>
    <row r="281" spans="11:11" s="507" customFormat="1" x14ac:dyDescent="0.2">
      <c r="K281" s="573"/>
    </row>
    <row r="282" spans="11:11" s="507" customFormat="1" x14ac:dyDescent="0.2">
      <c r="K282" s="573"/>
    </row>
    <row r="283" spans="11:11" s="507" customFormat="1" x14ac:dyDescent="0.2">
      <c r="K283" s="573"/>
    </row>
    <row r="284" spans="11:11" s="507" customFormat="1" x14ac:dyDescent="0.2">
      <c r="K284" s="573"/>
    </row>
    <row r="285" spans="11:11" s="507" customFormat="1" x14ac:dyDescent="0.2">
      <c r="K285" s="573"/>
    </row>
    <row r="286" spans="11:11" s="507" customFormat="1" x14ac:dyDescent="0.2">
      <c r="K286" s="573"/>
    </row>
    <row r="287" spans="11:11" s="507" customFormat="1" x14ac:dyDescent="0.2">
      <c r="K287" s="573"/>
    </row>
    <row r="288" spans="11:11" s="507" customFormat="1" x14ac:dyDescent="0.2">
      <c r="K288" s="573"/>
    </row>
    <row r="289" spans="11:11" s="507" customFormat="1" x14ac:dyDescent="0.2">
      <c r="K289" s="573"/>
    </row>
    <row r="290" spans="11:11" s="507" customFormat="1" x14ac:dyDescent="0.2">
      <c r="K290" s="573"/>
    </row>
    <row r="291" spans="11:11" s="507" customFormat="1" x14ac:dyDescent="0.2">
      <c r="K291" s="573"/>
    </row>
    <row r="292" spans="11:11" s="507" customFormat="1" x14ac:dyDescent="0.2">
      <c r="K292" s="573"/>
    </row>
    <row r="293" spans="11:11" s="507" customFormat="1" x14ac:dyDescent="0.2">
      <c r="K293" s="573"/>
    </row>
    <row r="294" spans="11:11" s="507" customFormat="1" x14ac:dyDescent="0.2">
      <c r="K294" s="573"/>
    </row>
    <row r="295" spans="11:11" s="507" customFormat="1" x14ac:dyDescent="0.2">
      <c r="K295" s="573"/>
    </row>
    <row r="296" spans="11:11" s="507" customFormat="1" x14ac:dyDescent="0.2">
      <c r="K296" s="573"/>
    </row>
    <row r="297" spans="11:11" s="507" customFormat="1" x14ac:dyDescent="0.2">
      <c r="K297" s="573"/>
    </row>
    <row r="298" spans="11:11" s="507" customFormat="1" x14ac:dyDescent="0.2">
      <c r="K298" s="573"/>
    </row>
    <row r="299" spans="11:11" s="507" customFormat="1" x14ac:dyDescent="0.2">
      <c r="K299" s="573"/>
    </row>
    <row r="300" spans="11:11" s="507" customFormat="1" x14ac:dyDescent="0.2">
      <c r="K300" s="573"/>
    </row>
    <row r="301" spans="11:11" s="507" customFormat="1" x14ac:dyDescent="0.2">
      <c r="K301" s="573"/>
    </row>
    <row r="302" spans="11:11" s="507" customFormat="1" x14ac:dyDescent="0.2">
      <c r="K302" s="573"/>
    </row>
    <row r="303" spans="11:11" s="507" customFormat="1" x14ac:dyDescent="0.2">
      <c r="K303" s="573"/>
    </row>
    <row r="304" spans="11:11" s="507" customFormat="1" x14ac:dyDescent="0.2">
      <c r="K304" s="573"/>
    </row>
    <row r="305" spans="11:11" s="507" customFormat="1" x14ac:dyDescent="0.2">
      <c r="K305" s="573"/>
    </row>
    <row r="306" spans="11:11" s="507" customFormat="1" x14ac:dyDescent="0.2">
      <c r="K306" s="573"/>
    </row>
    <row r="307" spans="11:11" s="507" customFormat="1" x14ac:dyDescent="0.2">
      <c r="K307" s="573"/>
    </row>
    <row r="308" spans="11:11" s="507" customFormat="1" x14ac:dyDescent="0.2">
      <c r="K308" s="573"/>
    </row>
    <row r="309" spans="11:11" s="507" customFormat="1" x14ac:dyDescent="0.2">
      <c r="K309" s="573"/>
    </row>
    <row r="310" spans="11:11" s="507" customFormat="1" x14ac:dyDescent="0.2">
      <c r="K310" s="573"/>
    </row>
    <row r="311" spans="11:11" s="507" customFormat="1" x14ac:dyDescent="0.2">
      <c r="K311" s="573"/>
    </row>
    <row r="312" spans="11:11" s="507" customFormat="1" x14ac:dyDescent="0.2">
      <c r="K312" s="573"/>
    </row>
    <row r="313" spans="11:11" s="507" customFormat="1" x14ac:dyDescent="0.2">
      <c r="K313" s="573"/>
    </row>
    <row r="314" spans="11:11" s="507" customFormat="1" x14ac:dyDescent="0.2">
      <c r="K314" s="573"/>
    </row>
    <row r="315" spans="11:11" s="507" customFormat="1" x14ac:dyDescent="0.2">
      <c r="K315" s="573"/>
    </row>
    <row r="316" spans="11:11" s="507" customFormat="1" x14ac:dyDescent="0.2">
      <c r="K316" s="573"/>
    </row>
    <row r="317" spans="11:11" s="507" customFormat="1" x14ac:dyDescent="0.2">
      <c r="K317" s="573"/>
    </row>
    <row r="318" spans="11:11" s="507" customFormat="1" x14ac:dyDescent="0.2">
      <c r="K318" s="573"/>
    </row>
    <row r="319" spans="11:11" s="507" customFormat="1" x14ac:dyDescent="0.2">
      <c r="K319" s="573"/>
    </row>
    <row r="320" spans="11:11" s="507" customFormat="1" x14ac:dyDescent="0.2">
      <c r="K320" s="573"/>
    </row>
    <row r="321" spans="11:11" s="507" customFormat="1" x14ac:dyDescent="0.2">
      <c r="K321" s="573"/>
    </row>
    <row r="322" spans="11:11" s="507" customFormat="1" x14ac:dyDescent="0.2">
      <c r="K322" s="573"/>
    </row>
    <row r="323" spans="11:11" s="507" customFormat="1" x14ac:dyDescent="0.2">
      <c r="K323" s="573"/>
    </row>
    <row r="324" spans="11:11" s="507" customFormat="1" x14ac:dyDescent="0.2">
      <c r="K324" s="573"/>
    </row>
    <row r="325" spans="11:11" s="507" customFormat="1" x14ac:dyDescent="0.2">
      <c r="K325" s="573"/>
    </row>
    <row r="326" spans="11:11" s="507" customFormat="1" x14ac:dyDescent="0.2">
      <c r="K326" s="573"/>
    </row>
    <row r="327" spans="11:11" s="507" customFormat="1" x14ac:dyDescent="0.2">
      <c r="K327" s="573"/>
    </row>
    <row r="328" spans="11:11" s="507" customFormat="1" x14ac:dyDescent="0.2">
      <c r="K328" s="573"/>
    </row>
    <row r="329" spans="11:11" s="507" customFormat="1" x14ac:dyDescent="0.2">
      <c r="K329" s="573"/>
    </row>
    <row r="330" spans="11:11" s="507" customFormat="1" x14ac:dyDescent="0.2">
      <c r="K330" s="573"/>
    </row>
    <row r="331" spans="11:11" s="507" customFormat="1" x14ac:dyDescent="0.2">
      <c r="K331" s="573"/>
    </row>
    <row r="332" spans="11:11" s="507" customFormat="1" x14ac:dyDescent="0.2">
      <c r="K332" s="573"/>
    </row>
    <row r="333" spans="11:11" s="507" customFormat="1" x14ac:dyDescent="0.2">
      <c r="K333" s="573"/>
    </row>
    <row r="334" spans="11:11" s="507" customFormat="1" x14ac:dyDescent="0.2">
      <c r="K334" s="573"/>
    </row>
    <row r="335" spans="11:11" s="507" customFormat="1" x14ac:dyDescent="0.2">
      <c r="K335" s="573"/>
    </row>
    <row r="336" spans="11:11" s="507" customFormat="1" x14ac:dyDescent="0.2">
      <c r="K336" s="573"/>
    </row>
    <row r="337" spans="11:11" s="507" customFormat="1" x14ac:dyDescent="0.2">
      <c r="K337" s="573"/>
    </row>
    <row r="338" spans="11:11" s="507" customFormat="1" x14ac:dyDescent="0.2">
      <c r="K338" s="573"/>
    </row>
    <row r="339" spans="11:11" s="507" customFormat="1" x14ac:dyDescent="0.2">
      <c r="K339" s="573"/>
    </row>
    <row r="340" spans="11:11" s="507" customFormat="1" x14ac:dyDescent="0.2">
      <c r="K340" s="573"/>
    </row>
    <row r="341" spans="11:11" s="507" customFormat="1" x14ac:dyDescent="0.2">
      <c r="K341" s="573"/>
    </row>
    <row r="342" spans="11:11" s="507" customFormat="1" x14ac:dyDescent="0.2">
      <c r="K342" s="573"/>
    </row>
    <row r="343" spans="11:11" s="507" customFormat="1" x14ac:dyDescent="0.2">
      <c r="K343" s="573"/>
    </row>
    <row r="344" spans="11:11" s="507" customFormat="1" x14ac:dyDescent="0.2">
      <c r="K344" s="573"/>
    </row>
    <row r="345" spans="11:11" s="507" customFormat="1" x14ac:dyDescent="0.2">
      <c r="K345" s="573"/>
    </row>
    <row r="346" spans="11:11" s="507" customFormat="1" x14ac:dyDescent="0.2">
      <c r="K346" s="573"/>
    </row>
    <row r="347" spans="11:11" s="507" customFormat="1" x14ac:dyDescent="0.2">
      <c r="K347" s="573"/>
    </row>
    <row r="348" spans="11:11" s="507" customFormat="1" x14ac:dyDescent="0.2">
      <c r="K348" s="573"/>
    </row>
    <row r="349" spans="11:11" s="507" customFormat="1" x14ac:dyDescent="0.2">
      <c r="K349" s="573"/>
    </row>
    <row r="350" spans="11:11" s="507" customFormat="1" x14ac:dyDescent="0.2">
      <c r="K350" s="573"/>
    </row>
    <row r="351" spans="11:11" s="507" customFormat="1" x14ac:dyDescent="0.2">
      <c r="K351" s="573"/>
    </row>
    <row r="352" spans="11:11" s="507" customFormat="1" x14ac:dyDescent="0.2">
      <c r="K352" s="573"/>
    </row>
    <row r="353" spans="11:11" s="507" customFormat="1" x14ac:dyDescent="0.2">
      <c r="K353" s="573"/>
    </row>
    <row r="354" spans="11:11" s="507" customFormat="1" x14ac:dyDescent="0.2">
      <c r="K354" s="573"/>
    </row>
    <row r="355" spans="11:11" s="507" customFormat="1" x14ac:dyDescent="0.2">
      <c r="K355" s="573"/>
    </row>
    <row r="356" spans="11:11" s="507" customFormat="1" x14ac:dyDescent="0.2">
      <c r="K356" s="573"/>
    </row>
    <row r="357" spans="11:11" s="507" customFormat="1" x14ac:dyDescent="0.2">
      <c r="K357" s="573"/>
    </row>
    <row r="358" spans="11:11" s="507" customFormat="1" x14ac:dyDescent="0.2">
      <c r="K358" s="573"/>
    </row>
    <row r="359" spans="11:11" s="507" customFormat="1" x14ac:dyDescent="0.2">
      <c r="K359" s="573"/>
    </row>
    <row r="360" spans="11:11" s="507" customFormat="1" x14ac:dyDescent="0.2">
      <c r="K360" s="573"/>
    </row>
    <row r="361" spans="11:11" s="507" customFormat="1" x14ac:dyDescent="0.2">
      <c r="K361" s="573"/>
    </row>
    <row r="362" spans="11:11" s="507" customFormat="1" x14ac:dyDescent="0.2">
      <c r="K362" s="573"/>
    </row>
    <row r="363" spans="11:11" s="507" customFormat="1" x14ac:dyDescent="0.2">
      <c r="K363" s="573"/>
    </row>
    <row r="364" spans="11:11" s="507" customFormat="1" x14ac:dyDescent="0.2">
      <c r="K364" s="573"/>
    </row>
    <row r="365" spans="11:11" s="507" customFormat="1" x14ac:dyDescent="0.2">
      <c r="K365" s="573"/>
    </row>
    <row r="366" spans="11:11" s="507" customFormat="1" x14ac:dyDescent="0.2">
      <c r="K366" s="573"/>
    </row>
    <row r="367" spans="11:11" s="507" customFormat="1" x14ac:dyDescent="0.2">
      <c r="K367" s="573"/>
    </row>
    <row r="368" spans="11:11" s="507" customFormat="1" x14ac:dyDescent="0.2">
      <c r="K368" s="573"/>
    </row>
    <row r="369" spans="11:11" s="507" customFormat="1" x14ac:dyDescent="0.2">
      <c r="K369" s="573"/>
    </row>
    <row r="370" spans="11:11" s="507" customFormat="1" x14ac:dyDescent="0.2">
      <c r="K370" s="573"/>
    </row>
    <row r="371" spans="11:11" s="507" customFormat="1" x14ac:dyDescent="0.2">
      <c r="K371" s="573"/>
    </row>
    <row r="372" spans="11:11" s="507" customFormat="1" x14ac:dyDescent="0.2">
      <c r="K372" s="573"/>
    </row>
    <row r="373" spans="11:11" s="507" customFormat="1" x14ac:dyDescent="0.2">
      <c r="K373" s="573"/>
    </row>
    <row r="374" spans="11:11" s="507" customFormat="1" x14ac:dyDescent="0.2">
      <c r="K374" s="573"/>
    </row>
    <row r="375" spans="11:11" s="507" customFormat="1" x14ac:dyDescent="0.2">
      <c r="K375" s="573"/>
    </row>
    <row r="376" spans="11:11" s="507" customFormat="1" x14ac:dyDescent="0.2">
      <c r="K376" s="573"/>
    </row>
    <row r="377" spans="11:11" s="507" customFormat="1" x14ac:dyDescent="0.2">
      <c r="K377" s="573"/>
    </row>
    <row r="378" spans="11:11" s="507" customFormat="1" x14ac:dyDescent="0.2">
      <c r="K378" s="573"/>
    </row>
    <row r="379" spans="11:11" s="507" customFormat="1" x14ac:dyDescent="0.2">
      <c r="K379" s="573"/>
    </row>
    <row r="380" spans="11:11" s="507" customFormat="1" x14ac:dyDescent="0.2">
      <c r="K380" s="573"/>
    </row>
    <row r="381" spans="11:11" s="507" customFormat="1" x14ac:dyDescent="0.2">
      <c r="K381" s="573"/>
    </row>
    <row r="382" spans="11:11" s="507" customFormat="1" x14ac:dyDescent="0.2">
      <c r="K382" s="573"/>
    </row>
    <row r="383" spans="11:11" s="507" customFormat="1" x14ac:dyDescent="0.2">
      <c r="K383" s="573"/>
    </row>
    <row r="384" spans="11:11" s="507" customFormat="1" x14ac:dyDescent="0.2">
      <c r="K384" s="573"/>
    </row>
    <row r="385" spans="11:11" s="507" customFormat="1" x14ac:dyDescent="0.2">
      <c r="K385" s="573"/>
    </row>
    <row r="386" spans="11:11" s="507" customFormat="1" x14ac:dyDescent="0.2">
      <c r="K386" s="573"/>
    </row>
    <row r="387" spans="11:11" s="507" customFormat="1" x14ac:dyDescent="0.2">
      <c r="K387" s="573"/>
    </row>
    <row r="388" spans="11:11" s="507" customFormat="1" x14ac:dyDescent="0.2">
      <c r="K388" s="573"/>
    </row>
    <row r="389" spans="11:11" s="507" customFormat="1" x14ac:dyDescent="0.2">
      <c r="K389" s="573"/>
    </row>
    <row r="390" spans="11:11" s="507" customFormat="1" x14ac:dyDescent="0.2">
      <c r="K390" s="573"/>
    </row>
    <row r="391" spans="11:11" s="507" customFormat="1" x14ac:dyDescent="0.2">
      <c r="K391" s="573"/>
    </row>
    <row r="392" spans="11:11" s="507" customFormat="1" x14ac:dyDescent="0.2">
      <c r="K392" s="573"/>
    </row>
    <row r="393" spans="11:11" s="507" customFormat="1" x14ac:dyDescent="0.2">
      <c r="K393" s="573"/>
    </row>
    <row r="394" spans="11:11" s="507" customFormat="1" x14ac:dyDescent="0.2">
      <c r="K394" s="573"/>
    </row>
    <row r="395" spans="11:11" s="507" customFormat="1" x14ac:dyDescent="0.2">
      <c r="K395" s="573"/>
    </row>
    <row r="396" spans="11:11" s="507" customFormat="1" x14ac:dyDescent="0.2">
      <c r="K396" s="573"/>
    </row>
    <row r="397" spans="11:11" s="507" customFormat="1" x14ac:dyDescent="0.2">
      <c r="K397" s="573"/>
    </row>
    <row r="398" spans="11:11" s="507" customFormat="1" x14ac:dyDescent="0.2">
      <c r="K398" s="573"/>
    </row>
    <row r="399" spans="11:11" s="507" customFormat="1" x14ac:dyDescent="0.2">
      <c r="K399" s="573"/>
    </row>
    <row r="400" spans="11:11" s="507" customFormat="1" x14ac:dyDescent="0.2">
      <c r="K400" s="573"/>
    </row>
    <row r="401" spans="11:11" s="507" customFormat="1" x14ac:dyDescent="0.2">
      <c r="K401" s="573"/>
    </row>
    <row r="402" spans="11:11" s="507" customFormat="1" x14ac:dyDescent="0.2">
      <c r="K402" s="573"/>
    </row>
    <row r="403" spans="11:11" s="507" customFormat="1" x14ac:dyDescent="0.2">
      <c r="K403" s="573"/>
    </row>
    <row r="404" spans="11:11" s="507" customFormat="1" x14ac:dyDescent="0.2">
      <c r="K404" s="573"/>
    </row>
    <row r="405" spans="11:11" s="507" customFormat="1" x14ac:dyDescent="0.2">
      <c r="K405" s="573"/>
    </row>
    <row r="406" spans="11:11" s="507" customFormat="1" x14ac:dyDescent="0.2">
      <c r="K406" s="573"/>
    </row>
    <row r="407" spans="11:11" s="507" customFormat="1" x14ac:dyDescent="0.2">
      <c r="K407" s="573"/>
    </row>
    <row r="408" spans="11:11" s="507" customFormat="1" x14ac:dyDescent="0.2">
      <c r="K408" s="573"/>
    </row>
    <row r="409" spans="11:11" s="507" customFormat="1" x14ac:dyDescent="0.2">
      <c r="K409" s="573"/>
    </row>
    <row r="410" spans="11:11" s="507" customFormat="1" x14ac:dyDescent="0.2">
      <c r="K410" s="573"/>
    </row>
    <row r="411" spans="11:11" s="507" customFormat="1" x14ac:dyDescent="0.2">
      <c r="K411" s="573"/>
    </row>
    <row r="412" spans="11:11" s="507" customFormat="1" x14ac:dyDescent="0.2">
      <c r="K412" s="573"/>
    </row>
    <row r="413" spans="11:11" s="507" customFormat="1" x14ac:dyDescent="0.2">
      <c r="K413" s="573"/>
    </row>
    <row r="414" spans="11:11" s="507" customFormat="1" x14ac:dyDescent="0.2">
      <c r="K414" s="573"/>
    </row>
    <row r="415" spans="11:11" s="507" customFormat="1" x14ac:dyDescent="0.2">
      <c r="K415" s="573"/>
    </row>
    <row r="416" spans="11:11" s="507" customFormat="1" x14ac:dyDescent="0.2">
      <c r="K416" s="573"/>
    </row>
    <row r="417" spans="11:11" s="507" customFormat="1" x14ac:dyDescent="0.2">
      <c r="K417" s="573"/>
    </row>
    <row r="418" spans="11:11" s="507" customFormat="1" x14ac:dyDescent="0.2">
      <c r="K418" s="573"/>
    </row>
    <row r="419" spans="11:11" s="507" customFormat="1" x14ac:dyDescent="0.2">
      <c r="K419" s="573"/>
    </row>
    <row r="420" spans="11:11" s="507" customFormat="1" x14ac:dyDescent="0.2">
      <c r="K420" s="573"/>
    </row>
    <row r="421" spans="11:11" s="507" customFormat="1" x14ac:dyDescent="0.2">
      <c r="K421" s="573"/>
    </row>
    <row r="422" spans="11:11" s="507" customFormat="1" x14ac:dyDescent="0.2">
      <c r="K422" s="573"/>
    </row>
    <row r="423" spans="11:11" s="507" customFormat="1" x14ac:dyDescent="0.2">
      <c r="K423" s="573"/>
    </row>
    <row r="424" spans="11:11" s="507" customFormat="1" x14ac:dyDescent="0.2">
      <c r="K424" s="573"/>
    </row>
    <row r="425" spans="11:11" s="507" customFormat="1" x14ac:dyDescent="0.2">
      <c r="K425" s="573"/>
    </row>
    <row r="426" spans="11:11" s="507" customFormat="1" x14ac:dyDescent="0.2">
      <c r="K426" s="573"/>
    </row>
    <row r="427" spans="11:11" s="507" customFormat="1" x14ac:dyDescent="0.2">
      <c r="K427" s="573"/>
    </row>
    <row r="428" spans="11:11" s="507" customFormat="1" x14ac:dyDescent="0.2">
      <c r="K428" s="573"/>
    </row>
    <row r="429" spans="11:11" s="507" customFormat="1" x14ac:dyDescent="0.2">
      <c r="K429" s="573"/>
    </row>
    <row r="430" spans="11:11" s="507" customFormat="1" x14ac:dyDescent="0.2">
      <c r="K430" s="573"/>
    </row>
    <row r="431" spans="11:11" s="507" customFormat="1" x14ac:dyDescent="0.2">
      <c r="K431" s="573"/>
    </row>
    <row r="432" spans="11:11" s="507" customFormat="1" x14ac:dyDescent="0.2">
      <c r="K432" s="573"/>
    </row>
    <row r="433" spans="11:11" s="507" customFormat="1" x14ac:dyDescent="0.2">
      <c r="K433" s="573"/>
    </row>
    <row r="434" spans="11:11" s="507" customFormat="1" x14ac:dyDescent="0.2">
      <c r="K434" s="573"/>
    </row>
    <row r="435" spans="11:11" s="507" customFormat="1" x14ac:dyDescent="0.2">
      <c r="K435" s="573"/>
    </row>
    <row r="436" spans="11:11" s="507" customFormat="1" x14ac:dyDescent="0.2">
      <c r="K436" s="573"/>
    </row>
    <row r="437" spans="11:11" s="507" customFormat="1" x14ac:dyDescent="0.2">
      <c r="K437" s="573"/>
    </row>
    <row r="438" spans="11:11" s="507" customFormat="1" x14ac:dyDescent="0.2">
      <c r="K438" s="573"/>
    </row>
    <row r="439" spans="11:11" s="507" customFormat="1" x14ac:dyDescent="0.2">
      <c r="K439" s="573"/>
    </row>
    <row r="440" spans="11:11" s="507" customFormat="1" x14ac:dyDescent="0.2">
      <c r="K440" s="573"/>
    </row>
    <row r="441" spans="11:11" s="507" customFormat="1" x14ac:dyDescent="0.2">
      <c r="K441" s="573"/>
    </row>
    <row r="442" spans="11:11" s="507" customFormat="1" x14ac:dyDescent="0.2">
      <c r="K442" s="573"/>
    </row>
    <row r="443" spans="11:11" s="507" customFormat="1" x14ac:dyDescent="0.2">
      <c r="K443" s="573"/>
    </row>
    <row r="444" spans="11:11" s="507" customFormat="1" x14ac:dyDescent="0.2">
      <c r="K444" s="573"/>
    </row>
    <row r="445" spans="11:11" s="507" customFormat="1" x14ac:dyDescent="0.2">
      <c r="K445" s="573"/>
    </row>
    <row r="446" spans="11:11" s="507" customFormat="1" x14ac:dyDescent="0.2">
      <c r="K446" s="573"/>
    </row>
    <row r="447" spans="11:11" s="507" customFormat="1" x14ac:dyDescent="0.2">
      <c r="K447" s="573"/>
    </row>
    <row r="448" spans="11:11" s="507" customFormat="1" x14ac:dyDescent="0.2">
      <c r="K448" s="573"/>
    </row>
    <row r="449" spans="11:11" s="507" customFormat="1" x14ac:dyDescent="0.2">
      <c r="K449" s="573"/>
    </row>
    <row r="450" spans="11:11" s="507" customFormat="1" x14ac:dyDescent="0.2">
      <c r="K450" s="573"/>
    </row>
    <row r="451" spans="11:11" s="507" customFormat="1" x14ac:dyDescent="0.2">
      <c r="K451" s="573"/>
    </row>
    <row r="452" spans="11:11" s="507" customFormat="1" x14ac:dyDescent="0.2">
      <c r="K452" s="573"/>
    </row>
    <row r="453" spans="11:11" s="507" customFormat="1" x14ac:dyDescent="0.2">
      <c r="K453" s="573"/>
    </row>
    <row r="454" spans="11:11" s="507" customFormat="1" x14ac:dyDescent="0.2">
      <c r="K454" s="573"/>
    </row>
    <row r="455" spans="11:11" s="507" customFormat="1" x14ac:dyDescent="0.2">
      <c r="K455" s="573"/>
    </row>
    <row r="456" spans="11:11" s="507" customFormat="1" x14ac:dyDescent="0.2">
      <c r="K456" s="573"/>
    </row>
    <row r="457" spans="11:11" s="507" customFormat="1" x14ac:dyDescent="0.2">
      <c r="K457" s="573"/>
    </row>
    <row r="458" spans="11:11" s="507" customFormat="1" x14ac:dyDescent="0.2">
      <c r="K458" s="573"/>
    </row>
    <row r="459" spans="11:11" s="507" customFormat="1" x14ac:dyDescent="0.2">
      <c r="K459" s="573"/>
    </row>
    <row r="460" spans="11:11" s="507" customFormat="1" x14ac:dyDescent="0.2">
      <c r="K460" s="573"/>
    </row>
    <row r="461" spans="11:11" s="507" customFormat="1" x14ac:dyDescent="0.2">
      <c r="K461" s="573"/>
    </row>
    <row r="462" spans="11:11" s="507" customFormat="1" x14ac:dyDescent="0.2">
      <c r="K462" s="573"/>
    </row>
    <row r="463" spans="11:11" s="507" customFormat="1" x14ac:dyDescent="0.2">
      <c r="K463" s="573"/>
    </row>
    <row r="464" spans="11:11" s="507" customFormat="1" x14ac:dyDescent="0.2">
      <c r="K464" s="573"/>
    </row>
    <row r="465" spans="11:11" s="507" customFormat="1" x14ac:dyDescent="0.2">
      <c r="K465" s="573"/>
    </row>
    <row r="466" spans="11:11" s="507" customFormat="1" x14ac:dyDescent="0.2">
      <c r="K466" s="573"/>
    </row>
    <row r="467" spans="11:11" s="507" customFormat="1" x14ac:dyDescent="0.2">
      <c r="K467" s="573"/>
    </row>
    <row r="468" spans="11:11" s="507" customFormat="1" x14ac:dyDescent="0.2">
      <c r="K468" s="573"/>
    </row>
    <row r="469" spans="11:11" s="507" customFormat="1" x14ac:dyDescent="0.2">
      <c r="K469" s="573"/>
    </row>
    <row r="470" spans="11:11" s="507" customFormat="1" x14ac:dyDescent="0.2">
      <c r="K470" s="573"/>
    </row>
    <row r="471" spans="11:11" s="507" customFormat="1" x14ac:dyDescent="0.2">
      <c r="K471" s="573"/>
    </row>
    <row r="472" spans="11:11" s="507" customFormat="1" x14ac:dyDescent="0.2">
      <c r="K472" s="573"/>
    </row>
    <row r="473" spans="11:11" s="507" customFormat="1" x14ac:dyDescent="0.2">
      <c r="K473" s="573"/>
    </row>
    <row r="474" spans="11:11" s="507" customFormat="1" x14ac:dyDescent="0.2">
      <c r="K474" s="573"/>
    </row>
    <row r="475" spans="11:11" s="507" customFormat="1" x14ac:dyDescent="0.2">
      <c r="K475" s="573"/>
    </row>
    <row r="476" spans="11:11" s="507" customFormat="1" x14ac:dyDescent="0.2">
      <c r="K476" s="573"/>
    </row>
    <row r="477" spans="11:11" s="507" customFormat="1" x14ac:dyDescent="0.2">
      <c r="K477" s="573"/>
    </row>
    <row r="478" spans="11:11" s="507" customFormat="1" x14ac:dyDescent="0.2">
      <c r="K478" s="573"/>
    </row>
    <row r="479" spans="11:11" s="507" customFormat="1" x14ac:dyDescent="0.2">
      <c r="K479" s="573"/>
    </row>
    <row r="480" spans="11:11" s="507" customFormat="1" x14ac:dyDescent="0.2">
      <c r="K480" s="573"/>
    </row>
    <row r="481" spans="11:11" s="507" customFormat="1" x14ac:dyDescent="0.2">
      <c r="K481" s="573"/>
    </row>
    <row r="482" spans="11:11" s="507" customFormat="1" x14ac:dyDescent="0.2">
      <c r="K482" s="573"/>
    </row>
    <row r="483" spans="11:11" s="507" customFormat="1" x14ac:dyDescent="0.2">
      <c r="K483" s="573"/>
    </row>
    <row r="484" spans="11:11" s="507" customFormat="1" x14ac:dyDescent="0.2">
      <c r="K484" s="573"/>
    </row>
    <row r="485" spans="11:11" s="507" customFormat="1" x14ac:dyDescent="0.2">
      <c r="K485" s="573"/>
    </row>
    <row r="486" spans="11:11" s="507" customFormat="1" x14ac:dyDescent="0.2">
      <c r="K486" s="573"/>
    </row>
    <row r="487" spans="11:11" s="507" customFormat="1" x14ac:dyDescent="0.2">
      <c r="K487" s="573"/>
    </row>
  </sheetData>
  <sheetProtection password="E421" sheet="1" objects="1" scenarios="1"/>
  <mergeCells count="136">
    <mergeCell ref="A212:L212"/>
    <mergeCell ref="A213:L214"/>
    <mergeCell ref="D132:E132"/>
    <mergeCell ref="D133:E133"/>
    <mergeCell ref="D134:E134"/>
    <mergeCell ref="A207:L208"/>
    <mergeCell ref="A209:L209"/>
    <mergeCell ref="A210:L211"/>
    <mergeCell ref="D126:E126"/>
    <mergeCell ref="D127:E127"/>
    <mergeCell ref="D128:E128"/>
    <mergeCell ref="D129:E129"/>
    <mergeCell ref="D130:E130"/>
    <mergeCell ref="D131:E131"/>
    <mergeCell ref="G118:M119"/>
    <mergeCell ref="D121:E121"/>
    <mergeCell ref="D122:E122"/>
    <mergeCell ref="D123:E123"/>
    <mergeCell ref="D124:E124"/>
    <mergeCell ref="D125:E125"/>
    <mergeCell ref="B91:C91"/>
    <mergeCell ref="D91:M91"/>
    <mergeCell ref="B92:C92"/>
    <mergeCell ref="D92:M92"/>
    <mergeCell ref="B93:C93"/>
    <mergeCell ref="D93:M93"/>
    <mergeCell ref="D87:M87"/>
    <mergeCell ref="B88:M88"/>
    <mergeCell ref="B89:C89"/>
    <mergeCell ref="D89:M89"/>
    <mergeCell ref="B90:C90"/>
    <mergeCell ref="D90:M90"/>
    <mergeCell ref="B83:M83"/>
    <mergeCell ref="B84:C84"/>
    <mergeCell ref="D84:M84"/>
    <mergeCell ref="B85:C85"/>
    <mergeCell ref="D85:M85"/>
    <mergeCell ref="B86:C86"/>
    <mergeCell ref="D86:M86"/>
    <mergeCell ref="N75:N93"/>
    <mergeCell ref="B76:C76"/>
    <mergeCell ref="D76:M76"/>
    <mergeCell ref="B77:C77"/>
    <mergeCell ref="D77:M77"/>
    <mergeCell ref="B78:M78"/>
    <mergeCell ref="B79:C79"/>
    <mergeCell ref="B67:C67"/>
    <mergeCell ref="D67:M67"/>
    <mergeCell ref="D68:F68"/>
    <mergeCell ref="G68:I68"/>
    <mergeCell ref="D69:F73"/>
    <mergeCell ref="G69:I73"/>
    <mergeCell ref="D79:M79"/>
    <mergeCell ref="B80:C80"/>
    <mergeCell ref="D80:M80"/>
    <mergeCell ref="B81:C81"/>
    <mergeCell ref="D81:M81"/>
    <mergeCell ref="B82:C82"/>
    <mergeCell ref="D82:M82"/>
    <mergeCell ref="B74:C74"/>
    <mergeCell ref="D74:M74"/>
    <mergeCell ref="B75:M75"/>
    <mergeCell ref="B87:C87"/>
    <mergeCell ref="D59:F63"/>
    <mergeCell ref="G59:I63"/>
    <mergeCell ref="B64:C64"/>
    <mergeCell ref="D64:M64"/>
    <mergeCell ref="B65:M65"/>
    <mergeCell ref="B66:C66"/>
    <mergeCell ref="D66:M66"/>
    <mergeCell ref="B55:M55"/>
    <mergeCell ref="B56:C56"/>
    <mergeCell ref="D56:M56"/>
    <mergeCell ref="B57:C57"/>
    <mergeCell ref="D57:M57"/>
    <mergeCell ref="D58:F58"/>
    <mergeCell ref="G58:I58"/>
    <mergeCell ref="D48:F48"/>
    <mergeCell ref="G48:I48"/>
    <mergeCell ref="D49:F53"/>
    <mergeCell ref="G49:I53"/>
    <mergeCell ref="B54:C54"/>
    <mergeCell ref="D54:M54"/>
    <mergeCell ref="B44:C44"/>
    <mergeCell ref="D44:M44"/>
    <mergeCell ref="B45:M45"/>
    <mergeCell ref="B46:C46"/>
    <mergeCell ref="D46:M46"/>
    <mergeCell ref="B47:C47"/>
    <mergeCell ref="D47:M47"/>
    <mergeCell ref="B37:C37"/>
    <mergeCell ref="D37:M37"/>
    <mergeCell ref="D38:F38"/>
    <mergeCell ref="G38:I38"/>
    <mergeCell ref="D39:F43"/>
    <mergeCell ref="G39:I43"/>
    <mergeCell ref="D29:F33"/>
    <mergeCell ref="G29:I33"/>
    <mergeCell ref="B34:C34"/>
    <mergeCell ref="D34:M34"/>
    <mergeCell ref="B35:M35"/>
    <mergeCell ref="B36:C36"/>
    <mergeCell ref="D36:M36"/>
    <mergeCell ref="B23:C23"/>
    <mergeCell ref="B24:C24"/>
    <mergeCell ref="B25:C25"/>
    <mergeCell ref="B27:M27"/>
    <mergeCell ref="D28:F28"/>
    <mergeCell ref="G28:I28"/>
    <mergeCell ref="N15:N22"/>
    <mergeCell ref="B17:C17"/>
    <mergeCell ref="B18:C18"/>
    <mergeCell ref="B19:C19"/>
    <mergeCell ref="B20:C20"/>
    <mergeCell ref="B21:C21"/>
    <mergeCell ref="B22:C22"/>
    <mergeCell ref="B14:M14"/>
    <mergeCell ref="B15:C16"/>
    <mergeCell ref="D15:E15"/>
    <mergeCell ref="F15:G15"/>
    <mergeCell ref="H15:I15"/>
    <mergeCell ref="J15:K15"/>
    <mergeCell ref="L15:M15"/>
    <mergeCell ref="C10:M10"/>
    <mergeCell ref="C11:M11"/>
    <mergeCell ref="N11:N12"/>
    <mergeCell ref="C12:M12"/>
    <mergeCell ref="D13:F13"/>
    <mergeCell ref="G13:I13"/>
    <mergeCell ref="J13:M13"/>
    <mergeCell ref="B1:E1"/>
    <mergeCell ref="F1:M1"/>
    <mergeCell ref="B3:M3"/>
    <mergeCell ref="B4:M4"/>
    <mergeCell ref="B8:M8"/>
    <mergeCell ref="C9:M9"/>
  </mergeCells>
  <conditionalFormatting sqref="F1:M1">
    <cfRule type="containsText" dxfId="303" priority="43" operator="containsText" text="0">
      <formula>NOT(ISERROR(SEARCH("0",F1)))</formula>
    </cfRule>
  </conditionalFormatting>
  <conditionalFormatting sqref="C9:M10">
    <cfRule type="cellIs" dxfId="302" priority="42" operator="lessThanOrEqual">
      <formula>0</formula>
    </cfRule>
  </conditionalFormatting>
  <conditionalFormatting sqref="D79:M80 D84:M85 D90:M91">
    <cfRule type="containsErrors" dxfId="301" priority="41">
      <formula>ISERROR(D79)</formula>
    </cfRule>
  </conditionalFormatting>
  <conditionalFormatting sqref="D79:M79">
    <cfRule type="cellIs" dxfId="300" priority="39" operator="equal">
      <formula>0</formula>
    </cfRule>
  </conditionalFormatting>
  <conditionalFormatting sqref="E77:M77 D76:D77">
    <cfRule type="cellIs" dxfId="299" priority="37" operator="lessThanOrEqual">
      <formula>0</formula>
    </cfRule>
  </conditionalFormatting>
  <conditionalFormatting sqref="D81:M81">
    <cfRule type="cellIs" dxfId="298" priority="36" operator="lessThanOrEqual">
      <formula>0</formula>
    </cfRule>
  </conditionalFormatting>
  <conditionalFormatting sqref="D86:M86">
    <cfRule type="cellIs" dxfId="297" priority="35" operator="lessThanOrEqual">
      <formula>0</formula>
    </cfRule>
  </conditionalFormatting>
  <conditionalFormatting sqref="D92:M92">
    <cfRule type="cellIs" dxfId="296" priority="34" operator="lessThanOrEqual">
      <formula>0</formula>
    </cfRule>
  </conditionalFormatting>
  <conditionalFormatting sqref="C11:M12 D13 J13">
    <cfRule type="containsErrors" dxfId="295" priority="33">
      <formula>ISERROR(C11)</formula>
    </cfRule>
  </conditionalFormatting>
  <conditionalFormatting sqref="C12:M12 D13 J13">
    <cfRule type="cellIs" dxfId="294" priority="32" stopIfTrue="1" operator="lessThanOrEqual">
      <formula>0</formula>
    </cfRule>
  </conditionalFormatting>
  <conditionalFormatting sqref="B143:C152">
    <cfRule type="containsErrors" dxfId="293" priority="17">
      <formula>ISERROR(B143)</formula>
    </cfRule>
  </conditionalFormatting>
  <conditionalFormatting sqref="B153:C156">
    <cfRule type="containsErrors" dxfId="292" priority="16">
      <formula>ISERROR(B153)</formula>
    </cfRule>
  </conditionalFormatting>
  <conditionalFormatting sqref="B157:C160">
    <cfRule type="containsErrors" dxfId="291" priority="15">
      <formula>ISERROR(B157)</formula>
    </cfRule>
  </conditionalFormatting>
  <conditionalFormatting sqref="B161:C164">
    <cfRule type="containsErrors" dxfId="290" priority="14">
      <formula>ISERROR(B161)</formula>
    </cfRule>
  </conditionalFormatting>
  <conditionalFormatting sqref="B165:C168">
    <cfRule type="containsErrors" dxfId="289" priority="13">
      <formula>ISERROR(B165)</formula>
    </cfRule>
  </conditionalFormatting>
  <conditionalFormatting sqref="D29:D34 E29:F33 D54">
    <cfRule type="containsErrors" dxfId="288" priority="12">
      <formula>ISERROR(D29)</formula>
    </cfRule>
  </conditionalFormatting>
  <conditionalFormatting sqref="N43 N33:N34 N53 N63 N73">
    <cfRule type="containsErrors" dxfId="287" priority="11">
      <formula>ISERROR(N33)</formula>
    </cfRule>
  </conditionalFormatting>
  <conditionalFormatting sqref="D74:M74 D64:M64 D54:M54 D44:M44 D34:M34">
    <cfRule type="cellIs" dxfId="286" priority="10" stopIfTrue="1" operator="lessThanOrEqual">
      <formula>0</formula>
    </cfRule>
  </conditionalFormatting>
  <conditionalFormatting sqref="D29:F33">
    <cfRule type="cellIs" dxfId="285" priority="9" operator="lessThanOrEqual">
      <formula>0</formula>
    </cfRule>
  </conditionalFormatting>
  <conditionalFormatting sqref="D39:F43">
    <cfRule type="containsErrors" dxfId="284" priority="8">
      <formula>ISERROR(D39)</formula>
    </cfRule>
  </conditionalFormatting>
  <conditionalFormatting sqref="D39:F43">
    <cfRule type="cellIs" dxfId="283" priority="7" operator="lessThanOrEqual">
      <formula>0</formula>
    </cfRule>
  </conditionalFormatting>
  <conditionalFormatting sqref="D49:F53">
    <cfRule type="containsErrors" dxfId="282" priority="6">
      <formula>ISERROR(D49)</formula>
    </cfRule>
  </conditionalFormatting>
  <conditionalFormatting sqref="D49:F53">
    <cfRule type="cellIs" dxfId="281" priority="5" operator="lessThanOrEqual">
      <formula>0</formula>
    </cfRule>
  </conditionalFormatting>
  <conditionalFormatting sqref="D59:F63">
    <cfRule type="containsErrors" dxfId="280" priority="4">
      <formula>ISERROR(D59)</formula>
    </cfRule>
  </conditionalFormatting>
  <conditionalFormatting sqref="D59:F63">
    <cfRule type="cellIs" dxfId="279" priority="3" operator="lessThanOrEqual">
      <formula>0</formula>
    </cfRule>
  </conditionalFormatting>
  <conditionalFormatting sqref="D69:F73">
    <cfRule type="containsErrors" dxfId="278" priority="2">
      <formula>ISERROR(D69)</formula>
    </cfRule>
  </conditionalFormatting>
  <conditionalFormatting sqref="D69:F73">
    <cfRule type="cellIs" dxfId="277" priority="1" operator="lessThanOrEqual">
      <formula>0</formula>
    </cfRule>
  </conditionalFormatting>
  <dataValidations count="2">
    <dataValidation type="list" allowBlank="1" showInputMessage="1" showErrorMessage="1" sqref="C13" xr:uid="{00000000-0002-0000-0F00-000000000000}">
      <formula1>Cistern</formula1>
    </dataValidation>
    <dataValidation type="list" allowBlank="1" showInputMessage="1" showErrorMessage="1" sqref="C29:C33 C69:C73 C59:C63 C49:C53 C39:C43" xr:uid="{00000000-0002-0000-0F00-000001000000}">
      <formula1>$B$122:$B$134</formula1>
    </dataValidation>
  </dataValidations>
  <hyperlinks>
    <hyperlink ref="A210:J211" location="'SITE SUMMARY'!A1" display="CONTINUE TO SITE SUMMARY" xr:uid="{00000000-0004-0000-0F00-000000000000}"/>
    <hyperlink ref="A213:J214" location="'SITE SUMMARY'!A1" display="CONTINUE TO SITE SUMMARY" xr:uid="{00000000-0004-0000-0F00-000001000000}"/>
    <hyperlink ref="A210:L211" location="'BMP SUMMARY'!A1" display="CONTINUE TO BMP SUMMARY" xr:uid="{00000000-0004-0000-0F00-000002000000}"/>
    <hyperlink ref="A207:J208" location="'DA2'!A1" display="CLICK TO ADD ANOTHER DRAINAGE AREA" xr:uid="{00000000-0004-0000-0F00-000003000000}"/>
    <hyperlink ref="A207:L208" location="DA2_BMPs!A1" display="CLICK TO ADD BMPS TO ANOTHER DRAINAGE AREA" xr:uid="{00000000-0004-0000-0F00-000004000000}"/>
  </hyperlinks>
  <printOptions horizontalCentered="1"/>
  <pageMargins left="0.7" right="0.7" top="0.75" bottom="0.75" header="0.3" footer="0.3"/>
  <pageSetup scale="42" fitToHeight="2" orientation="portrait" r:id="rId1"/>
  <headerFooter>
    <oddFooter>&amp;A&amp;RPage &amp;P</oddFooter>
  </headerFooter>
  <rowBreaks count="1" manualBreakCount="1">
    <brk id="54" min="1" max="12"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030A0"/>
  </sheetPr>
  <dimension ref="A1:AA487"/>
  <sheetViews>
    <sheetView showRowColHeaders="0" topLeftCell="A27" zoomScale="70" zoomScaleNormal="70" zoomScalePageLayoutView="55" workbookViewId="0">
      <selection activeCell="G22" sqref="G22"/>
    </sheetView>
  </sheetViews>
  <sheetFormatPr defaultRowHeight="15" x14ac:dyDescent="0.2"/>
  <cols>
    <col min="1" max="1" width="3.77734375" style="507" customWidth="1"/>
    <col min="2" max="2" width="39" style="161" customWidth="1"/>
    <col min="3" max="3" width="42.5546875" style="161" bestFit="1" customWidth="1"/>
    <col min="4" max="10" width="9.77734375" style="161" customWidth="1"/>
    <col min="11" max="11" width="9.77734375" style="398" customWidth="1"/>
    <col min="12" max="13" width="9.77734375" style="161" customWidth="1"/>
    <col min="14" max="14" width="77" style="161" customWidth="1"/>
    <col min="15" max="25" width="8.88671875" style="507"/>
    <col min="26" max="16384" width="8.88671875" style="161"/>
  </cols>
  <sheetData>
    <row r="1" spans="1:25" ht="16.5" customHeight="1" thickBot="1" x14ac:dyDescent="0.3">
      <c r="B1" s="787" t="s">
        <v>31</v>
      </c>
      <c r="C1" s="787"/>
      <c r="D1" s="787"/>
      <c r="E1" s="931"/>
      <c r="F1" s="1107">
        <f>'SITE DATA'!F9</f>
        <v>0</v>
      </c>
      <c r="G1" s="1108"/>
      <c r="H1" s="1108"/>
      <c r="I1" s="1108"/>
      <c r="J1" s="1108"/>
      <c r="K1" s="1108"/>
      <c r="L1" s="1108"/>
      <c r="M1" s="1109"/>
      <c r="N1" s="507"/>
    </row>
    <row r="2" spans="1:25" ht="16.5" customHeight="1" x14ac:dyDescent="0.2">
      <c r="B2" s="575"/>
      <c r="C2" s="575"/>
      <c r="D2" s="575"/>
      <c r="E2" s="575"/>
      <c r="F2" s="575"/>
      <c r="G2" s="575"/>
      <c r="H2" s="575"/>
      <c r="I2" s="575"/>
      <c r="J2" s="575"/>
      <c r="K2" s="237"/>
      <c r="L2" s="575"/>
      <c r="M2" s="575"/>
      <c r="N2" s="507"/>
    </row>
    <row r="3" spans="1:25" ht="16.5" customHeight="1" x14ac:dyDescent="0.25">
      <c r="B3" s="797" t="s">
        <v>400</v>
      </c>
      <c r="C3" s="797"/>
      <c r="D3" s="797"/>
      <c r="E3" s="797"/>
      <c r="F3" s="797"/>
      <c r="G3" s="797"/>
      <c r="H3" s="797"/>
      <c r="I3" s="797"/>
      <c r="J3" s="797"/>
      <c r="K3" s="797"/>
      <c r="L3" s="797"/>
      <c r="M3" s="797"/>
      <c r="N3" s="507"/>
    </row>
    <row r="4" spans="1:25" ht="16.5" customHeight="1" x14ac:dyDescent="0.25">
      <c r="B4" s="797" t="s">
        <v>359</v>
      </c>
      <c r="C4" s="797"/>
      <c r="D4" s="797"/>
      <c r="E4" s="797"/>
      <c r="F4" s="797"/>
      <c r="G4" s="797"/>
      <c r="H4" s="797"/>
      <c r="I4" s="797"/>
      <c r="J4" s="797"/>
      <c r="K4" s="797"/>
      <c r="L4" s="797"/>
      <c r="M4" s="797"/>
      <c r="N4" s="507"/>
    </row>
    <row r="5" spans="1:25" ht="16.5" customHeight="1" x14ac:dyDescent="0.2">
      <c r="B5" s="507"/>
      <c r="C5" s="507"/>
      <c r="D5" s="507"/>
      <c r="E5" s="507"/>
      <c r="F5" s="507"/>
      <c r="G5" s="507"/>
      <c r="H5" s="507"/>
      <c r="I5" s="507"/>
      <c r="J5" s="507"/>
      <c r="K5" s="573"/>
      <c r="L5" s="507"/>
      <c r="M5" s="507"/>
      <c r="N5" s="507"/>
    </row>
    <row r="6" spans="1:25" ht="16.5" customHeight="1" x14ac:dyDescent="0.2">
      <c r="B6" s="507"/>
      <c r="C6" s="507"/>
      <c r="D6" s="366"/>
      <c r="E6" s="366"/>
      <c r="F6" s="366"/>
      <c r="G6" s="305"/>
      <c r="H6" s="305"/>
      <c r="I6" s="366"/>
      <c r="J6" s="366"/>
      <c r="K6" s="367"/>
      <c r="L6" s="507"/>
      <c r="M6" s="507"/>
    </row>
    <row r="7" spans="1:25" ht="16.5" customHeight="1" thickBot="1" x14ac:dyDescent="0.25">
      <c r="B7" s="507"/>
      <c r="C7" s="507"/>
      <c r="D7" s="305"/>
      <c r="E7" s="305"/>
      <c r="F7" s="305"/>
      <c r="G7" s="305"/>
      <c r="H7" s="305"/>
      <c r="I7" s="305"/>
      <c r="J7" s="305"/>
      <c r="K7" s="160"/>
      <c r="L7" s="507"/>
      <c r="M7" s="507"/>
      <c r="N7" s="507"/>
    </row>
    <row r="8" spans="1:25" s="306" customFormat="1" ht="24.95" customHeight="1" thickTop="1" thickBot="1" x14ac:dyDescent="0.25">
      <c r="A8" s="164"/>
      <c r="B8" s="1081" t="s">
        <v>274</v>
      </c>
      <c r="C8" s="1082"/>
      <c r="D8" s="1082"/>
      <c r="E8" s="1082"/>
      <c r="F8" s="1082"/>
      <c r="G8" s="1082"/>
      <c r="H8" s="1082"/>
      <c r="I8" s="1082"/>
      <c r="J8" s="1082"/>
      <c r="K8" s="1082"/>
      <c r="L8" s="1082"/>
      <c r="M8" s="1083"/>
      <c r="N8" s="238" t="s">
        <v>319</v>
      </c>
      <c r="O8" s="164"/>
      <c r="P8" s="164"/>
      <c r="Q8" s="164"/>
      <c r="R8" s="164"/>
      <c r="S8" s="164"/>
      <c r="T8" s="164"/>
      <c r="U8" s="164"/>
      <c r="V8" s="164"/>
      <c r="W8" s="164"/>
      <c r="X8" s="164"/>
      <c r="Y8" s="164"/>
    </row>
    <row r="9" spans="1:25" s="306" customFormat="1" ht="24.95" customHeight="1" thickTop="1" x14ac:dyDescent="0.2">
      <c r="A9" s="164"/>
      <c r="B9" s="241" t="s">
        <v>606</v>
      </c>
      <c r="C9" s="1087" t="str">
        <f>'DA3'!H10</f>
        <v xml:space="preserve"> </v>
      </c>
      <c r="D9" s="1087"/>
      <c r="E9" s="1087"/>
      <c r="F9" s="1087"/>
      <c r="G9" s="1087"/>
      <c r="H9" s="1087"/>
      <c r="I9" s="1087"/>
      <c r="J9" s="1087"/>
      <c r="K9" s="1087"/>
      <c r="L9" s="1087"/>
      <c r="M9" s="1088"/>
      <c r="N9" s="307"/>
      <c r="O9" s="164"/>
      <c r="P9" s="164"/>
      <c r="Q9" s="164"/>
      <c r="R9" s="164"/>
      <c r="S9" s="164"/>
      <c r="T9" s="164"/>
      <c r="U9" s="164"/>
      <c r="V9" s="164"/>
      <c r="W9" s="164"/>
      <c r="X9" s="164"/>
      <c r="Y9" s="164"/>
    </row>
    <row r="10" spans="1:25" s="306" customFormat="1" ht="24.95" customHeight="1" x14ac:dyDescent="0.2">
      <c r="A10" s="164"/>
      <c r="B10" s="241" t="s">
        <v>607</v>
      </c>
      <c r="C10" s="1087" t="e">
        <f>'DA3'!H9-'DA3'!H10</f>
        <v>#VALUE!</v>
      </c>
      <c r="D10" s="1087"/>
      <c r="E10" s="1087"/>
      <c r="F10" s="1087"/>
      <c r="G10" s="1087"/>
      <c r="H10" s="1087"/>
      <c r="I10" s="1087"/>
      <c r="J10" s="1087"/>
      <c r="K10" s="1087"/>
      <c r="L10" s="1087"/>
      <c r="M10" s="1088"/>
      <c r="N10" s="308"/>
      <c r="O10" s="164"/>
      <c r="P10" s="164"/>
      <c r="Q10" s="164"/>
      <c r="R10" s="164"/>
      <c r="S10" s="164"/>
      <c r="T10" s="164"/>
      <c r="U10" s="164"/>
      <c r="V10" s="164"/>
      <c r="W10" s="164"/>
      <c r="X10" s="164"/>
      <c r="Y10" s="164"/>
    </row>
    <row r="11" spans="1:25" s="306" customFormat="1" ht="33" x14ac:dyDescent="0.2">
      <c r="A11" s="164"/>
      <c r="B11" s="286" t="s">
        <v>576</v>
      </c>
      <c r="C11" s="1032" t="e">
        <f>'SITE SUMMARY'!G40</f>
        <v>#VALUE!</v>
      </c>
      <c r="D11" s="1032"/>
      <c r="E11" s="1032"/>
      <c r="F11" s="1032"/>
      <c r="G11" s="1032"/>
      <c r="H11" s="1032"/>
      <c r="I11" s="1032"/>
      <c r="J11" s="1032"/>
      <c r="K11" s="1032"/>
      <c r="L11" s="1032"/>
      <c r="M11" s="1033"/>
      <c r="N11" s="1035" t="s">
        <v>578</v>
      </c>
      <c r="O11" s="164"/>
      <c r="P11" s="164"/>
      <c r="Q11" s="164"/>
      <c r="R11" s="164"/>
      <c r="S11" s="164"/>
      <c r="T11" s="164"/>
      <c r="U11" s="164"/>
      <c r="V11" s="164"/>
      <c r="W11" s="164"/>
      <c r="X11" s="164"/>
      <c r="Y11" s="164"/>
    </row>
    <row r="12" spans="1:25" s="306" customFormat="1" ht="34.5" customHeight="1" x14ac:dyDescent="0.2">
      <c r="A12" s="164"/>
      <c r="B12" s="286" t="s">
        <v>608</v>
      </c>
      <c r="C12" s="1032" t="e">
        <f>IF('SITE SUMMARY'!G35="High",('DA3'!$D$80),0)</f>
        <v>#DIV/0!</v>
      </c>
      <c r="D12" s="1032" t="str">
        <f>IF($G$36="High",('DA1'!$D$80),"NA")</f>
        <v>NA</v>
      </c>
      <c r="E12" s="1032" t="str">
        <f>IF($G$36="High",('DA1'!$D$80),"NA")</f>
        <v>NA</v>
      </c>
      <c r="F12" s="1032" t="str">
        <f>IF($G$36="High",('DA1'!$D$80),"NA")</f>
        <v>NA</v>
      </c>
      <c r="G12" s="1032" t="str">
        <f>IF($G$36="High",('DA1'!$D$80),"NA")</f>
        <v>NA</v>
      </c>
      <c r="H12" s="1032" t="str">
        <f>IF($G$36="High",('DA1'!$D$80),"NA")</f>
        <v>NA</v>
      </c>
      <c r="I12" s="1032" t="str">
        <f>IF($G$36="High",('DA1'!$D$80),"NA")</f>
        <v>NA</v>
      </c>
      <c r="J12" s="1032" t="str">
        <f>IF($G$36="High",('DA1'!$D$80),"NA")</f>
        <v>NA</v>
      </c>
      <c r="K12" s="1032" t="str">
        <f>IF($G$36="High",('DA1'!$D$80),"NA")</f>
        <v>NA</v>
      </c>
      <c r="L12" s="1032" t="str">
        <f>IF($G$36="High",('DA1'!$D$80),"NA")</f>
        <v>NA</v>
      </c>
      <c r="M12" s="1033" t="str">
        <f>IF($G$36="High",('DA1'!$D$80),"NA")</f>
        <v>NA</v>
      </c>
      <c r="N12" s="1035"/>
      <c r="O12" s="164"/>
      <c r="P12" s="164"/>
      <c r="Q12" s="164"/>
      <c r="R12" s="164"/>
      <c r="S12" s="164"/>
      <c r="T12" s="164"/>
      <c r="U12" s="164"/>
      <c r="V12" s="164"/>
      <c r="W12" s="164"/>
      <c r="X12" s="164"/>
      <c r="Y12" s="164"/>
    </row>
    <row r="13" spans="1:25" s="306" customFormat="1" ht="60" x14ac:dyDescent="0.2">
      <c r="A13" s="164"/>
      <c r="B13" s="286" t="s">
        <v>583</v>
      </c>
      <c r="C13" s="364" t="s">
        <v>516</v>
      </c>
      <c r="D13" s="1038" t="s">
        <v>565</v>
      </c>
      <c r="E13" s="1039"/>
      <c r="F13" s="1039"/>
      <c r="G13" s="1026">
        <v>0</v>
      </c>
      <c r="H13" s="1027"/>
      <c r="I13" s="1028"/>
      <c r="J13" s="1029" t="s">
        <v>574</v>
      </c>
      <c r="K13" s="1030"/>
      <c r="L13" s="1030"/>
      <c r="M13" s="1031"/>
      <c r="N13" s="608" t="s">
        <v>609</v>
      </c>
      <c r="O13" s="164"/>
      <c r="P13" s="164"/>
      <c r="Q13" s="164"/>
      <c r="R13" s="164"/>
      <c r="S13" s="164"/>
      <c r="T13" s="164"/>
      <c r="U13" s="164"/>
      <c r="V13" s="164"/>
      <c r="W13" s="164"/>
      <c r="X13" s="164"/>
      <c r="Y13" s="164"/>
    </row>
    <row r="14" spans="1:25" s="306" customFormat="1" ht="24.95" customHeight="1" x14ac:dyDescent="0.2">
      <c r="A14" s="164"/>
      <c r="B14" s="1084" t="s">
        <v>320</v>
      </c>
      <c r="C14" s="1085"/>
      <c r="D14" s="1085"/>
      <c r="E14" s="1085"/>
      <c r="F14" s="1085"/>
      <c r="G14" s="1085"/>
      <c r="H14" s="1085"/>
      <c r="I14" s="1085"/>
      <c r="J14" s="1085"/>
      <c r="K14" s="1085"/>
      <c r="L14" s="1085"/>
      <c r="M14" s="1086"/>
      <c r="N14" s="368"/>
      <c r="O14" s="369"/>
      <c r="P14" s="369"/>
      <c r="Q14" s="369"/>
      <c r="R14" s="369"/>
      <c r="S14" s="369"/>
      <c r="T14" s="369"/>
      <c r="U14" s="164"/>
      <c r="V14" s="164"/>
      <c r="W14" s="164"/>
      <c r="X14" s="164"/>
      <c r="Y14" s="164"/>
    </row>
    <row r="15" spans="1:25" s="327" customFormat="1" ht="35.1" customHeight="1" x14ac:dyDescent="0.2">
      <c r="A15" s="326"/>
      <c r="B15" s="1089" t="s">
        <v>273</v>
      </c>
      <c r="C15" s="1090"/>
      <c r="D15" s="1093" t="s">
        <v>610</v>
      </c>
      <c r="E15" s="1093"/>
      <c r="F15" s="1093" t="s">
        <v>611</v>
      </c>
      <c r="G15" s="1093"/>
      <c r="H15" s="1093" t="s">
        <v>612</v>
      </c>
      <c r="I15" s="1093"/>
      <c r="J15" s="1093" t="s">
        <v>613</v>
      </c>
      <c r="K15" s="1093"/>
      <c r="L15" s="1093" t="s">
        <v>614</v>
      </c>
      <c r="M15" s="1115"/>
      <c r="N15" s="1119" t="s">
        <v>741</v>
      </c>
      <c r="O15" s="326"/>
      <c r="P15" s="326"/>
      <c r="Q15" s="326"/>
      <c r="R15" s="326"/>
      <c r="S15" s="326"/>
      <c r="T15" s="326"/>
      <c r="U15" s="326"/>
      <c r="V15" s="326"/>
      <c r="W15" s="326"/>
      <c r="X15" s="326"/>
      <c r="Y15" s="326"/>
    </row>
    <row r="16" spans="1:25" s="327" customFormat="1" x14ac:dyDescent="0.2">
      <c r="A16" s="326"/>
      <c r="B16" s="1089"/>
      <c r="C16" s="1090"/>
      <c r="D16" s="131" t="s">
        <v>281</v>
      </c>
      <c r="E16" s="131" t="s">
        <v>282</v>
      </c>
      <c r="F16" s="131" t="s">
        <v>281</v>
      </c>
      <c r="G16" s="131" t="s">
        <v>282</v>
      </c>
      <c r="H16" s="131" t="s">
        <v>281</v>
      </c>
      <c r="I16" s="131" t="s">
        <v>282</v>
      </c>
      <c r="J16" s="131" t="s">
        <v>281</v>
      </c>
      <c r="K16" s="131" t="s">
        <v>282</v>
      </c>
      <c r="L16" s="131" t="s">
        <v>281</v>
      </c>
      <c r="M16" s="240" t="s">
        <v>282</v>
      </c>
      <c r="N16" s="1119"/>
      <c r="O16" s="326"/>
      <c r="P16" s="326"/>
      <c r="Q16" s="326"/>
      <c r="R16" s="326"/>
      <c r="S16" s="326"/>
      <c r="T16" s="326"/>
      <c r="U16" s="326"/>
      <c r="V16" s="326"/>
      <c r="W16" s="326"/>
      <c r="X16" s="326"/>
      <c r="Y16" s="326"/>
    </row>
    <row r="17" spans="1:25" s="327" customFormat="1" ht="24.95" customHeight="1" x14ac:dyDescent="0.2">
      <c r="A17" s="326"/>
      <c r="B17" s="1091" t="s">
        <v>12</v>
      </c>
      <c r="C17" s="1092"/>
      <c r="D17" s="364" t="s">
        <v>755</v>
      </c>
      <c r="E17" s="364"/>
      <c r="F17" s="364"/>
      <c r="G17" s="364"/>
      <c r="H17" s="364"/>
      <c r="I17" s="364"/>
      <c r="J17" s="364"/>
      <c r="K17" s="364"/>
      <c r="L17" s="364"/>
      <c r="M17" s="365"/>
      <c r="N17" s="1119"/>
      <c r="O17" s="326"/>
      <c r="P17" s="326"/>
      <c r="Q17" s="326"/>
      <c r="R17" s="326"/>
      <c r="S17" s="326"/>
      <c r="T17" s="326"/>
      <c r="U17" s="326"/>
      <c r="V17" s="326"/>
      <c r="W17" s="326"/>
      <c r="X17" s="326"/>
      <c r="Y17" s="326"/>
    </row>
    <row r="18" spans="1:25" s="327" customFormat="1" ht="24.95" customHeight="1" x14ac:dyDescent="0.2">
      <c r="A18" s="326"/>
      <c r="B18" s="1091" t="s">
        <v>253</v>
      </c>
      <c r="C18" s="1092"/>
      <c r="D18" s="364"/>
      <c r="E18" s="364"/>
      <c r="F18" s="364"/>
      <c r="G18" s="364"/>
      <c r="H18" s="364"/>
      <c r="I18" s="364"/>
      <c r="J18" s="364"/>
      <c r="K18" s="364"/>
      <c r="L18" s="364"/>
      <c r="M18" s="365"/>
      <c r="N18" s="1119"/>
      <c r="O18" s="326"/>
      <c r="P18" s="326"/>
      <c r="Q18" s="326"/>
      <c r="R18" s="326"/>
      <c r="S18" s="326"/>
      <c r="T18" s="326"/>
      <c r="U18" s="326"/>
      <c r="V18" s="326"/>
      <c r="W18" s="326"/>
      <c r="X18" s="326"/>
      <c r="Y18" s="326"/>
    </row>
    <row r="19" spans="1:25" s="327" customFormat="1" ht="24.95" customHeight="1" x14ac:dyDescent="0.2">
      <c r="A19" s="326"/>
      <c r="B19" s="1091" t="s">
        <v>260</v>
      </c>
      <c r="C19" s="1092"/>
      <c r="D19" s="364"/>
      <c r="E19" s="364"/>
      <c r="F19" s="364"/>
      <c r="G19" s="364"/>
      <c r="H19" s="364"/>
      <c r="I19" s="364"/>
      <c r="J19" s="364"/>
      <c r="K19" s="364"/>
      <c r="L19" s="364"/>
      <c r="M19" s="365"/>
      <c r="N19" s="1119"/>
      <c r="O19" s="326"/>
      <c r="P19" s="326"/>
      <c r="Q19" s="326"/>
      <c r="R19" s="326"/>
      <c r="S19" s="326"/>
      <c r="T19" s="326"/>
      <c r="U19" s="326"/>
      <c r="V19" s="326"/>
      <c r="W19" s="326"/>
      <c r="X19" s="326"/>
      <c r="Y19" s="326"/>
    </row>
    <row r="20" spans="1:25" s="327" customFormat="1" ht="24.95" customHeight="1" x14ac:dyDescent="0.2">
      <c r="A20" s="326"/>
      <c r="B20" s="1091" t="s">
        <v>254</v>
      </c>
      <c r="C20" s="1092"/>
      <c r="D20" s="364" t="s">
        <v>755</v>
      </c>
      <c r="E20" s="364"/>
      <c r="F20" s="364"/>
      <c r="G20" s="364"/>
      <c r="H20" s="364"/>
      <c r="I20" s="364"/>
      <c r="J20" s="364"/>
      <c r="K20" s="364"/>
      <c r="L20" s="364"/>
      <c r="M20" s="365"/>
      <c r="N20" s="1119"/>
      <c r="O20" s="326"/>
      <c r="P20" s="326"/>
      <c r="Q20" s="326"/>
      <c r="R20" s="326"/>
      <c r="S20" s="326"/>
      <c r="T20" s="326"/>
      <c r="U20" s="326"/>
      <c r="V20" s="326"/>
      <c r="W20" s="326"/>
      <c r="X20" s="326"/>
      <c r="Y20" s="326"/>
    </row>
    <row r="21" spans="1:25" s="327" customFormat="1" ht="24.95" customHeight="1" x14ac:dyDescent="0.2">
      <c r="A21" s="326"/>
      <c r="B21" s="1091" t="s">
        <v>255</v>
      </c>
      <c r="C21" s="1092"/>
      <c r="D21" s="364"/>
      <c r="E21" s="364"/>
      <c r="F21" s="364"/>
      <c r="G21" s="364"/>
      <c r="H21" s="364"/>
      <c r="I21" s="364"/>
      <c r="J21" s="364"/>
      <c r="K21" s="364"/>
      <c r="L21" s="364"/>
      <c r="M21" s="365"/>
      <c r="N21" s="1119"/>
      <c r="O21" s="326"/>
      <c r="P21" s="326"/>
      <c r="Q21" s="326"/>
      <c r="R21" s="326"/>
      <c r="S21" s="326"/>
      <c r="T21" s="326"/>
      <c r="U21" s="326"/>
      <c r="V21" s="326"/>
      <c r="W21" s="326"/>
      <c r="X21" s="326"/>
      <c r="Y21" s="326"/>
    </row>
    <row r="22" spans="1:25" ht="24.95" customHeight="1" x14ac:dyDescent="0.2">
      <c r="B22" s="1091" t="s">
        <v>256</v>
      </c>
      <c r="C22" s="1092"/>
      <c r="D22" s="364"/>
      <c r="E22" s="364"/>
      <c r="F22" s="364"/>
      <c r="G22" s="364"/>
      <c r="H22" s="364"/>
      <c r="I22" s="364"/>
      <c r="J22" s="364"/>
      <c r="K22" s="364"/>
      <c r="L22" s="364"/>
      <c r="M22" s="365"/>
      <c r="N22" s="1119"/>
    </row>
    <row r="23" spans="1:25" ht="24.95" customHeight="1" x14ac:dyDescent="0.2">
      <c r="B23" s="1091" t="s">
        <v>257</v>
      </c>
      <c r="C23" s="1092"/>
      <c r="D23" s="364"/>
      <c r="E23" s="364"/>
      <c r="F23" s="364"/>
      <c r="G23" s="364"/>
      <c r="H23" s="364"/>
      <c r="I23" s="364"/>
      <c r="J23" s="364"/>
      <c r="K23" s="364"/>
      <c r="L23" s="364"/>
      <c r="M23" s="365"/>
      <c r="N23" s="370"/>
    </row>
    <row r="24" spans="1:25" ht="24.95" customHeight="1" x14ac:dyDescent="0.2">
      <c r="B24" s="1091" t="s">
        <v>245</v>
      </c>
      <c r="C24" s="1092"/>
      <c r="D24" s="364"/>
      <c r="E24" s="364"/>
      <c r="F24" s="364"/>
      <c r="G24" s="364"/>
      <c r="H24" s="364"/>
      <c r="I24" s="364"/>
      <c r="J24" s="364"/>
      <c r="K24" s="364"/>
      <c r="L24" s="364"/>
      <c r="M24" s="365"/>
      <c r="N24" s="370"/>
    </row>
    <row r="25" spans="1:25" ht="24.95" customHeight="1" x14ac:dyDescent="0.2">
      <c r="B25" s="1091" t="s">
        <v>44</v>
      </c>
      <c r="C25" s="1092"/>
      <c r="D25" s="364"/>
      <c r="E25" s="364"/>
      <c r="F25" s="364"/>
      <c r="G25" s="364"/>
      <c r="H25" s="364"/>
      <c r="I25" s="364"/>
      <c r="J25" s="364"/>
      <c r="K25" s="364"/>
      <c r="L25" s="364"/>
      <c r="M25" s="365"/>
      <c r="N25" s="446" t="str">
        <f>IF(SUM( D17:D25,F17:F25,H17:H25,J17:J25,L17:L25)=C9,"","DOES NOT MATCH SITE ACREAGES")</f>
        <v>DOES NOT MATCH SITE ACREAGES</v>
      </c>
    </row>
    <row r="26" spans="1:25" s="373" customFormat="1" ht="15.75" hidden="1" x14ac:dyDescent="0.25">
      <c r="A26" s="574"/>
      <c r="B26" s="371" t="s">
        <v>291</v>
      </c>
      <c r="C26" s="372"/>
      <c r="D26" s="315">
        <f>SUM(D17:D25)</f>
        <v>0</v>
      </c>
      <c r="E26" s="315">
        <f t="shared" ref="E26:M26" si="0">SUM(E17:E25)</f>
        <v>0</v>
      </c>
      <c r="F26" s="315">
        <f t="shared" si="0"/>
        <v>0</v>
      </c>
      <c r="G26" s="315">
        <f t="shared" si="0"/>
        <v>0</v>
      </c>
      <c r="H26" s="315">
        <f t="shared" si="0"/>
        <v>0</v>
      </c>
      <c r="I26" s="315">
        <f t="shared" si="0"/>
        <v>0</v>
      </c>
      <c r="J26" s="315">
        <f t="shared" si="0"/>
        <v>0</v>
      </c>
      <c r="K26" s="315">
        <f t="shared" si="0"/>
        <v>0</v>
      </c>
      <c r="L26" s="315">
        <f t="shared" si="0"/>
        <v>0</v>
      </c>
      <c r="M26" s="316">
        <f t="shared" si="0"/>
        <v>0</v>
      </c>
      <c r="N26" s="330"/>
      <c r="O26" s="574"/>
      <c r="P26" s="574"/>
      <c r="Q26" s="574"/>
      <c r="R26" s="574"/>
      <c r="S26" s="574"/>
      <c r="T26" s="574"/>
      <c r="U26" s="574"/>
      <c r="V26" s="574"/>
      <c r="W26" s="574"/>
      <c r="X26" s="574"/>
      <c r="Y26" s="574"/>
    </row>
    <row r="27" spans="1:25" s="306" customFormat="1" ht="15.75" x14ac:dyDescent="0.2">
      <c r="A27" s="164"/>
      <c r="B27" s="953" t="s">
        <v>286</v>
      </c>
      <c r="C27" s="954"/>
      <c r="D27" s="954"/>
      <c r="E27" s="954"/>
      <c r="F27" s="954"/>
      <c r="G27" s="954"/>
      <c r="H27" s="954"/>
      <c r="I27" s="954"/>
      <c r="J27" s="954"/>
      <c r="K27" s="954"/>
      <c r="L27" s="954"/>
      <c r="M27" s="955"/>
      <c r="N27" s="324"/>
      <c r="O27" s="164"/>
      <c r="P27" s="164"/>
      <c r="Q27" s="164"/>
      <c r="R27" s="164"/>
      <c r="S27" s="164"/>
      <c r="T27" s="164"/>
      <c r="U27" s="164"/>
      <c r="V27" s="164"/>
      <c r="W27" s="164"/>
      <c r="X27" s="164"/>
      <c r="Y27" s="164"/>
    </row>
    <row r="28" spans="1:25" s="507" customFormat="1" ht="79.5" customHeight="1" x14ac:dyDescent="0.2">
      <c r="B28" s="374" t="s">
        <v>318</v>
      </c>
      <c r="C28" s="375" t="s">
        <v>284</v>
      </c>
      <c r="D28" s="1034" t="s">
        <v>568</v>
      </c>
      <c r="E28" s="1034"/>
      <c r="F28" s="1034"/>
      <c r="G28" s="1040" t="s">
        <v>567</v>
      </c>
      <c r="H28" s="1041"/>
      <c r="I28" s="1042"/>
      <c r="J28" s="631" t="s">
        <v>269</v>
      </c>
      <c r="K28" s="631" t="s">
        <v>491</v>
      </c>
      <c r="L28" s="631" t="s">
        <v>492</v>
      </c>
      <c r="M28" s="376" t="s">
        <v>322</v>
      </c>
      <c r="N28" s="377" t="s">
        <v>321</v>
      </c>
    </row>
    <row r="29" spans="1:25" ht="24.95" customHeight="1" x14ac:dyDescent="0.2">
      <c r="B29" s="562"/>
      <c r="C29" s="400"/>
      <c r="D29" s="1043" t="e">
        <f>IF('SITE SUMMARY'!$G$35="High",E151,"-")</f>
        <v>#DIV/0!</v>
      </c>
      <c r="E29" s="1044"/>
      <c r="F29" s="1045"/>
      <c r="G29" s="1120"/>
      <c r="H29" s="1121"/>
      <c r="I29" s="1122"/>
      <c r="J29" s="378">
        <f>IF(ISERROR(VLOOKUP(C29,BMP,2,FALSE)),0,VLOOKUP(C29,BMP,2,FALSE))</f>
        <v>0</v>
      </c>
      <c r="K29" s="625">
        <f>IF(ISERROR($E$114),0,$E$114)</f>
        <v>0</v>
      </c>
      <c r="L29" s="625">
        <f>IF(ISERROR(K29*J29),0,K29*J29)</f>
        <v>0</v>
      </c>
      <c r="M29" s="401"/>
      <c r="N29" s="377"/>
      <c r="O29" s="379"/>
      <c r="P29" s="379"/>
      <c r="Q29" s="379"/>
      <c r="R29" s="379"/>
      <c r="S29" s="379"/>
      <c r="T29" s="379"/>
    </row>
    <row r="30" spans="1:25" ht="24.95" customHeight="1" x14ac:dyDescent="0.2">
      <c r="B30" s="563"/>
      <c r="C30" s="400"/>
      <c r="D30" s="1046"/>
      <c r="E30" s="1047"/>
      <c r="F30" s="1048"/>
      <c r="G30" s="1123"/>
      <c r="H30" s="1124"/>
      <c r="I30" s="1125"/>
      <c r="J30" s="378">
        <f>IF(ISERROR(VLOOKUP(C30,BMP,2,FALSE)),0,VLOOKUP(C30,BMP,2,FALSE))</f>
        <v>0</v>
      </c>
      <c r="K30" s="625">
        <f>IF(ISERROR(K29-L29),0,K29-L29)</f>
        <v>0</v>
      </c>
      <c r="L30" s="625">
        <f>IF(ISERROR(K30*J30),0,K30*J30)</f>
        <v>0</v>
      </c>
      <c r="M30" s="401"/>
      <c r="N30" s="380"/>
    </row>
    <row r="31" spans="1:25" ht="24.95" customHeight="1" x14ac:dyDescent="0.2">
      <c r="B31" s="563"/>
      <c r="C31" s="400"/>
      <c r="D31" s="1046"/>
      <c r="E31" s="1047"/>
      <c r="F31" s="1048"/>
      <c r="G31" s="1123"/>
      <c r="H31" s="1124"/>
      <c r="I31" s="1125"/>
      <c r="J31" s="378">
        <f>IF(ISERROR(VLOOKUP(C31,BMP,2,FALSE)),0,VLOOKUP(C31,BMP,2,FALSE))</f>
        <v>0</v>
      </c>
      <c r="K31" s="625">
        <f>IF(ISERROR(K30-L30),0,K30-L30)</f>
        <v>0</v>
      </c>
      <c r="L31" s="625">
        <f>IF(ISERROR(K31*J31),0,K31*J31)</f>
        <v>0</v>
      </c>
      <c r="M31" s="401"/>
      <c r="N31" s="380"/>
    </row>
    <row r="32" spans="1:25" ht="24.95" customHeight="1" x14ac:dyDescent="0.2">
      <c r="B32" s="563"/>
      <c r="C32" s="400"/>
      <c r="D32" s="1046"/>
      <c r="E32" s="1047"/>
      <c r="F32" s="1048"/>
      <c r="G32" s="1123"/>
      <c r="H32" s="1124"/>
      <c r="I32" s="1125"/>
      <c r="J32" s="378">
        <f>IF(ISERROR(VLOOKUP(C32,BMP,2,FALSE)),0,VLOOKUP(C32,BMP,2,FALSE))</f>
        <v>0</v>
      </c>
      <c r="K32" s="625">
        <f>IF(ISERROR(K31-L31),0,K31-L31)</f>
        <v>0</v>
      </c>
      <c r="L32" s="625">
        <f>IF(ISERROR(K32*J32),0,K32*J32)</f>
        <v>0</v>
      </c>
      <c r="M32" s="401"/>
      <c r="N32" s="380"/>
    </row>
    <row r="33" spans="1:25" ht="24.95" customHeight="1" x14ac:dyDescent="0.2">
      <c r="B33" s="563"/>
      <c r="C33" s="400"/>
      <c r="D33" s="1049"/>
      <c r="E33" s="1050"/>
      <c r="F33" s="1051"/>
      <c r="G33" s="1126"/>
      <c r="H33" s="1127"/>
      <c r="I33" s="1128"/>
      <c r="J33" s="378">
        <f>IF(ISERROR(VLOOKUP(C33,BMP,2,FALSE)),0,VLOOKUP(C33,BMP,2,FALSE))</f>
        <v>0</v>
      </c>
      <c r="K33" s="625">
        <f>IF(ISERROR(K32-L32),0,K32-L32)</f>
        <v>0</v>
      </c>
      <c r="L33" s="625">
        <f>IF(ISERROR(K33*J33),0,K33*J33)</f>
        <v>0</v>
      </c>
      <c r="M33" s="401"/>
      <c r="N33" s="381"/>
    </row>
    <row r="34" spans="1:25" ht="24.95" customHeight="1" x14ac:dyDescent="0.2">
      <c r="B34" s="1052" t="s">
        <v>371</v>
      </c>
      <c r="C34" s="1053"/>
      <c r="D34" s="1054">
        <f>IF(J33&gt;0,K306-L33,IF(J32&gt;0,K32-L32,IF(J31&gt;0,K31-L31,IF(J30&gt;0,K30-L30,K29-L29))))</f>
        <v>0</v>
      </c>
      <c r="E34" s="1055"/>
      <c r="F34" s="1055"/>
      <c r="G34" s="1055"/>
      <c r="H34" s="1055"/>
      <c r="I34" s="1055"/>
      <c r="J34" s="1055"/>
      <c r="K34" s="1055"/>
      <c r="L34" s="1055"/>
      <c r="M34" s="1056"/>
      <c r="N34" s="382"/>
    </row>
    <row r="35" spans="1:25" s="306" customFormat="1" ht="24.95" customHeight="1" x14ac:dyDescent="0.2">
      <c r="A35" s="164"/>
      <c r="B35" s="953" t="s">
        <v>285</v>
      </c>
      <c r="C35" s="954"/>
      <c r="D35" s="954"/>
      <c r="E35" s="954"/>
      <c r="F35" s="954"/>
      <c r="G35" s="954"/>
      <c r="H35" s="954"/>
      <c r="I35" s="954"/>
      <c r="J35" s="954"/>
      <c r="K35" s="954"/>
      <c r="L35" s="954"/>
      <c r="M35" s="955"/>
      <c r="N35" s="382"/>
      <c r="O35" s="164"/>
      <c r="P35" s="164"/>
      <c r="Q35" s="164"/>
      <c r="R35" s="164"/>
      <c r="S35" s="164"/>
      <c r="T35" s="164"/>
      <c r="U35" s="164"/>
      <c r="V35" s="164"/>
      <c r="W35" s="164"/>
      <c r="X35" s="164"/>
      <c r="Y35" s="164"/>
    </row>
    <row r="36" spans="1:25" s="507" customFormat="1" ht="39.75" customHeight="1" x14ac:dyDescent="0.2">
      <c r="B36" s="1019" t="s">
        <v>584</v>
      </c>
      <c r="C36" s="1020"/>
      <c r="D36" s="1057"/>
      <c r="E36" s="1058"/>
      <c r="F36" s="1058"/>
      <c r="G36" s="1058"/>
      <c r="H36" s="1058"/>
      <c r="I36" s="1058"/>
      <c r="J36" s="1058"/>
      <c r="K36" s="1058"/>
      <c r="L36" s="1058"/>
      <c r="M36" s="1059"/>
      <c r="N36" s="382"/>
    </row>
    <row r="37" spans="1:25" s="507" customFormat="1" ht="39.75" hidden="1" customHeight="1" x14ac:dyDescent="0.2">
      <c r="B37" s="1019" t="s">
        <v>585</v>
      </c>
      <c r="C37" s="1020"/>
      <c r="D37" s="1129"/>
      <c r="E37" s="1130"/>
      <c r="F37" s="1130"/>
      <c r="G37" s="1130"/>
      <c r="H37" s="1130"/>
      <c r="I37" s="1130"/>
      <c r="J37" s="1130"/>
      <c r="K37" s="1130"/>
      <c r="L37" s="1130"/>
      <c r="M37" s="1131"/>
      <c r="N37" s="382"/>
    </row>
    <row r="38" spans="1:25" s="507" customFormat="1" ht="79.5" customHeight="1" x14ac:dyDescent="0.2">
      <c r="B38" s="374" t="s">
        <v>318</v>
      </c>
      <c r="C38" s="375" t="s">
        <v>284</v>
      </c>
      <c r="D38" s="1034" t="s">
        <v>568</v>
      </c>
      <c r="E38" s="1034"/>
      <c r="F38" s="1034"/>
      <c r="G38" s="1034" t="s">
        <v>490</v>
      </c>
      <c r="H38" s="1034"/>
      <c r="I38" s="1034"/>
      <c r="J38" s="631" t="s">
        <v>269</v>
      </c>
      <c r="K38" s="631" t="s">
        <v>491</v>
      </c>
      <c r="L38" s="631" t="s">
        <v>492</v>
      </c>
      <c r="M38" s="376" t="s">
        <v>322</v>
      </c>
      <c r="N38" s="382"/>
    </row>
    <row r="39" spans="1:25" ht="24.95" customHeight="1" x14ac:dyDescent="0.2">
      <c r="B39" s="399"/>
      <c r="C39" s="400"/>
      <c r="D39" s="1043" t="e">
        <f>IF('SITE SUMMARY'!$G$35="High",E155,"-")</f>
        <v>#DIV/0!</v>
      </c>
      <c r="E39" s="1044"/>
      <c r="F39" s="1045"/>
      <c r="G39" s="1060"/>
      <c r="H39" s="1061"/>
      <c r="I39" s="1062"/>
      <c r="J39" s="378">
        <f>IF(ISERROR(VLOOKUP(C39,BMP,2,FALSE)),0,VLOOKUP(C39,BMP,2,FALSE))</f>
        <v>0</v>
      </c>
      <c r="K39" s="625">
        <f>IF(ISERROR($F$114),D36,$F$114+D36)</f>
        <v>0</v>
      </c>
      <c r="L39" s="625">
        <f>IF(ISERROR(K39*J39),0,K39*J39)</f>
        <v>0</v>
      </c>
      <c r="M39" s="401"/>
      <c r="N39" s="382"/>
      <c r="O39" s="379"/>
      <c r="P39" s="379"/>
      <c r="Q39" s="379"/>
      <c r="R39" s="379"/>
      <c r="S39" s="379"/>
      <c r="T39" s="379"/>
    </row>
    <row r="40" spans="1:25" ht="24.95" customHeight="1" x14ac:dyDescent="0.2">
      <c r="B40" s="399"/>
      <c r="C40" s="400"/>
      <c r="D40" s="1046"/>
      <c r="E40" s="1047"/>
      <c r="F40" s="1048"/>
      <c r="G40" s="1063"/>
      <c r="H40" s="1064"/>
      <c r="I40" s="1065"/>
      <c r="J40" s="378">
        <f>IF(ISERROR(VLOOKUP(C40,BMP,2,FALSE)),0,VLOOKUP(C40,BMP,2,FALSE))</f>
        <v>0</v>
      </c>
      <c r="K40" s="625">
        <f>IF(ISERROR(K39-L39),0,K39-L39)</f>
        <v>0</v>
      </c>
      <c r="L40" s="625">
        <f>IF(ISERROR(K40*J40),0,K40*J40)</f>
        <v>0</v>
      </c>
      <c r="M40" s="401"/>
      <c r="N40" s="382"/>
    </row>
    <row r="41" spans="1:25" ht="24.75" customHeight="1" x14ac:dyDescent="0.2">
      <c r="B41" s="399"/>
      <c r="C41" s="400"/>
      <c r="D41" s="1046"/>
      <c r="E41" s="1047"/>
      <c r="F41" s="1048"/>
      <c r="G41" s="1063"/>
      <c r="H41" s="1064"/>
      <c r="I41" s="1065"/>
      <c r="J41" s="378">
        <f>IF(ISERROR(VLOOKUP(C41,BMP,2,FALSE)),0,VLOOKUP(C41,BMP,2,FALSE))</f>
        <v>0</v>
      </c>
      <c r="K41" s="625">
        <f>IF(ISERROR(K40-L40),0,K40-L40)</f>
        <v>0</v>
      </c>
      <c r="L41" s="625">
        <f>IF(ISERROR(K41*J41),0,K41*J41)</f>
        <v>0</v>
      </c>
      <c r="M41" s="401"/>
      <c r="N41" s="382"/>
    </row>
    <row r="42" spans="1:25" ht="24.95" customHeight="1" x14ac:dyDescent="0.2">
      <c r="B42" s="399"/>
      <c r="C42" s="400"/>
      <c r="D42" s="1046"/>
      <c r="E42" s="1047"/>
      <c r="F42" s="1048"/>
      <c r="G42" s="1063"/>
      <c r="H42" s="1064"/>
      <c r="I42" s="1065"/>
      <c r="J42" s="378">
        <f>IF(ISERROR(VLOOKUP(C42,BMP,2,FALSE)),0,VLOOKUP(C42,BMP,2,FALSE))</f>
        <v>0</v>
      </c>
      <c r="K42" s="625">
        <f>IF(ISERROR(K41-L41),0,K41-L41)</f>
        <v>0</v>
      </c>
      <c r="L42" s="625">
        <f>IF(ISERROR(K42*J42),0,K42*J42)</f>
        <v>0</v>
      </c>
      <c r="M42" s="401"/>
      <c r="N42" s="382"/>
    </row>
    <row r="43" spans="1:25" ht="24.95" customHeight="1" x14ac:dyDescent="0.2">
      <c r="B43" s="399"/>
      <c r="C43" s="400"/>
      <c r="D43" s="1049"/>
      <c r="E43" s="1050"/>
      <c r="F43" s="1051"/>
      <c r="G43" s="1066"/>
      <c r="H43" s="1067"/>
      <c r="I43" s="1068"/>
      <c r="J43" s="378">
        <f>IF(ISERROR(VLOOKUP(C43,BMP,2,FALSE)),0,VLOOKUP(C43,BMP,2,FALSE))</f>
        <v>0</v>
      </c>
      <c r="K43" s="625">
        <f>IF(ISERROR(K42-L42),0,K42-L42)</f>
        <v>0</v>
      </c>
      <c r="L43" s="625">
        <f>IF(ISERROR(K43*J43),0,K43*J43)</f>
        <v>0</v>
      </c>
      <c r="M43" s="401"/>
      <c r="N43" s="381"/>
    </row>
    <row r="44" spans="1:25" ht="24.95" customHeight="1" x14ac:dyDescent="0.2">
      <c r="B44" s="1052" t="s">
        <v>371</v>
      </c>
      <c r="C44" s="1053"/>
      <c r="D44" s="1054">
        <f>IF(J43&gt;0,K43-L43,IF(J42&gt;0,K42-L42,IF(J41&gt;0,K41-L41,IF(J40&gt;0,K40-L40,K39-L39))))</f>
        <v>0</v>
      </c>
      <c r="E44" s="1055"/>
      <c r="F44" s="1055"/>
      <c r="G44" s="1055"/>
      <c r="H44" s="1055"/>
      <c r="I44" s="1055"/>
      <c r="J44" s="1055"/>
      <c r="K44" s="1055"/>
      <c r="L44" s="1055"/>
      <c r="M44" s="1056"/>
      <c r="N44" s="382"/>
    </row>
    <row r="45" spans="1:25" s="306" customFormat="1" ht="24.95" customHeight="1" x14ac:dyDescent="0.2">
      <c r="A45" s="164"/>
      <c r="B45" s="953" t="s">
        <v>298</v>
      </c>
      <c r="C45" s="954"/>
      <c r="D45" s="954"/>
      <c r="E45" s="954"/>
      <c r="F45" s="954"/>
      <c r="G45" s="954"/>
      <c r="H45" s="954"/>
      <c r="I45" s="954"/>
      <c r="J45" s="954"/>
      <c r="K45" s="954"/>
      <c r="L45" s="954"/>
      <c r="M45" s="955"/>
      <c r="N45" s="382"/>
      <c r="O45" s="164"/>
      <c r="P45" s="164"/>
      <c r="Q45" s="164"/>
      <c r="R45" s="164"/>
      <c r="S45" s="164"/>
      <c r="T45" s="164"/>
      <c r="U45" s="164"/>
      <c r="V45" s="164"/>
      <c r="W45" s="164"/>
      <c r="X45" s="164"/>
      <c r="Y45" s="164"/>
    </row>
    <row r="46" spans="1:25" s="507" customFormat="1" ht="39.950000000000003" customHeight="1" x14ac:dyDescent="0.2">
      <c r="B46" s="1019" t="s">
        <v>586</v>
      </c>
      <c r="C46" s="1020"/>
      <c r="D46" s="1057"/>
      <c r="E46" s="1058"/>
      <c r="F46" s="1058"/>
      <c r="G46" s="1058"/>
      <c r="H46" s="1058"/>
      <c r="I46" s="1058"/>
      <c r="J46" s="1058"/>
      <c r="K46" s="1058"/>
      <c r="L46" s="1058"/>
      <c r="M46" s="1059"/>
      <c r="N46" s="382"/>
    </row>
    <row r="47" spans="1:25" s="507" customFormat="1" ht="39.950000000000003" hidden="1" customHeight="1" x14ac:dyDescent="0.2">
      <c r="B47" s="1019" t="s">
        <v>587</v>
      </c>
      <c r="C47" s="1020"/>
      <c r="D47" s="1129"/>
      <c r="E47" s="1130"/>
      <c r="F47" s="1130"/>
      <c r="G47" s="1130"/>
      <c r="H47" s="1130"/>
      <c r="I47" s="1130"/>
      <c r="J47" s="1130"/>
      <c r="K47" s="1130"/>
      <c r="L47" s="1130"/>
      <c r="M47" s="1131"/>
      <c r="N47" s="382"/>
    </row>
    <row r="48" spans="1:25" s="507" customFormat="1" ht="79.5" customHeight="1" x14ac:dyDescent="0.2">
      <c r="B48" s="374" t="s">
        <v>318</v>
      </c>
      <c r="C48" s="375" t="s">
        <v>284</v>
      </c>
      <c r="D48" s="1034" t="s">
        <v>568</v>
      </c>
      <c r="E48" s="1034"/>
      <c r="F48" s="1034"/>
      <c r="G48" s="1040" t="s">
        <v>490</v>
      </c>
      <c r="H48" s="1041"/>
      <c r="I48" s="1042"/>
      <c r="J48" s="631" t="s">
        <v>269</v>
      </c>
      <c r="K48" s="631" t="s">
        <v>491</v>
      </c>
      <c r="L48" s="631" t="s">
        <v>492</v>
      </c>
      <c r="M48" s="376" t="s">
        <v>322</v>
      </c>
      <c r="N48" s="382"/>
    </row>
    <row r="49" spans="1:25" ht="24.95" customHeight="1" x14ac:dyDescent="0.2">
      <c r="B49" s="399"/>
      <c r="C49" s="400"/>
      <c r="D49" s="1043" t="e">
        <f>IF('SITE SUMMARY'!$G$35="High",E159,"-")</f>
        <v>#DIV/0!</v>
      </c>
      <c r="E49" s="1044"/>
      <c r="F49" s="1045"/>
      <c r="G49" s="1060"/>
      <c r="H49" s="1061"/>
      <c r="I49" s="1062"/>
      <c r="J49" s="378">
        <f>IF(ISERROR(VLOOKUP(C49,BMP,2,FALSE)),0,VLOOKUP(C49,BMP,2,FALSE))</f>
        <v>0</v>
      </c>
      <c r="K49" s="625">
        <f>IF(ISERROR($G$114),D46,$G$114+D46)</f>
        <v>0</v>
      </c>
      <c r="L49" s="625">
        <f>IF(ISERROR(K49*J49),0,K49*J49)</f>
        <v>0</v>
      </c>
      <c r="M49" s="401"/>
      <c r="N49" s="382"/>
      <c r="O49" s="379"/>
      <c r="P49" s="379"/>
      <c r="Q49" s="379"/>
      <c r="R49" s="379"/>
      <c r="S49" s="379"/>
      <c r="T49" s="379"/>
    </row>
    <row r="50" spans="1:25" ht="24.95" customHeight="1" x14ac:dyDescent="0.2">
      <c r="B50" s="399"/>
      <c r="C50" s="400"/>
      <c r="D50" s="1046"/>
      <c r="E50" s="1047"/>
      <c r="F50" s="1048"/>
      <c r="G50" s="1063"/>
      <c r="H50" s="1064"/>
      <c r="I50" s="1065"/>
      <c r="J50" s="378">
        <f>IF(ISERROR(VLOOKUP(C50,BMP,2,FALSE)),0,VLOOKUP(C50,BMP,2,FALSE))</f>
        <v>0</v>
      </c>
      <c r="K50" s="625">
        <f>IF(ISERROR(K49-L49),0,K49-L49)</f>
        <v>0</v>
      </c>
      <c r="L50" s="625">
        <f>IF(ISERROR(K50*J50),0,K50*J50)</f>
        <v>0</v>
      </c>
      <c r="M50" s="401"/>
      <c r="N50" s="382"/>
    </row>
    <row r="51" spans="1:25" ht="24.95" customHeight="1" x14ac:dyDescent="0.2">
      <c r="B51" s="399"/>
      <c r="C51" s="400"/>
      <c r="D51" s="1046"/>
      <c r="E51" s="1047"/>
      <c r="F51" s="1048"/>
      <c r="G51" s="1063"/>
      <c r="H51" s="1064"/>
      <c r="I51" s="1065"/>
      <c r="J51" s="378">
        <f>IF(ISERROR(VLOOKUP(C51,BMP,2,FALSE)),0,VLOOKUP(C51,BMP,2,FALSE))</f>
        <v>0</v>
      </c>
      <c r="K51" s="625">
        <f>IF(ISERROR(K50-L50),0,K50-L50)</f>
        <v>0</v>
      </c>
      <c r="L51" s="625">
        <f>IF(ISERROR(K51*J51),0,K51*J51)</f>
        <v>0</v>
      </c>
      <c r="M51" s="401"/>
      <c r="N51" s="382"/>
    </row>
    <row r="52" spans="1:25" ht="24.95" customHeight="1" x14ac:dyDescent="0.2">
      <c r="B52" s="399"/>
      <c r="C52" s="400"/>
      <c r="D52" s="1046"/>
      <c r="E52" s="1047"/>
      <c r="F52" s="1048"/>
      <c r="G52" s="1063"/>
      <c r="H52" s="1064"/>
      <c r="I52" s="1065"/>
      <c r="J52" s="378">
        <f>IF(ISERROR(VLOOKUP(C52,BMP,2,FALSE)),0,VLOOKUP(C52,BMP,2,FALSE))</f>
        <v>0</v>
      </c>
      <c r="K52" s="625">
        <f>IF(ISERROR(K51-L51),0,K51-L51)</f>
        <v>0</v>
      </c>
      <c r="L52" s="625">
        <f>IF(ISERROR(K52*J52),0,K52*J52)</f>
        <v>0</v>
      </c>
      <c r="M52" s="401"/>
      <c r="N52" s="382"/>
    </row>
    <row r="53" spans="1:25" ht="24.95" customHeight="1" x14ac:dyDescent="0.2">
      <c r="B53" s="399"/>
      <c r="C53" s="400"/>
      <c r="D53" s="1049"/>
      <c r="E53" s="1050"/>
      <c r="F53" s="1051"/>
      <c r="G53" s="1066"/>
      <c r="H53" s="1067"/>
      <c r="I53" s="1068"/>
      <c r="J53" s="378">
        <f>IF(ISERROR(VLOOKUP(C53,BMP,2,FALSE)),0,VLOOKUP(C53,BMP,2,FALSE))</f>
        <v>0</v>
      </c>
      <c r="K53" s="625">
        <f>IF(ISERROR(K52-L52),0,K52-L52)</f>
        <v>0</v>
      </c>
      <c r="L53" s="625">
        <f>IF(ISERROR(K53*J53),0,K53*J53)</f>
        <v>0</v>
      </c>
      <c r="M53" s="401"/>
      <c r="N53" s="381" t="e">
        <f>IF(G49&gt;(D49+5),"Exceeds Available Volume!","")</f>
        <v>#DIV/0!</v>
      </c>
    </row>
    <row r="54" spans="1:25" ht="24.95" customHeight="1" x14ac:dyDescent="0.2">
      <c r="B54" s="1052" t="s">
        <v>371</v>
      </c>
      <c r="C54" s="1053"/>
      <c r="D54" s="1054">
        <f>IF(J53&gt;0,K326-L53,IF(J52&gt;0,K52-L52,IF(J51&gt;0,K51-L51,IF(J50&gt;0,K50-L50,K49-L49))))</f>
        <v>0</v>
      </c>
      <c r="E54" s="1055"/>
      <c r="F54" s="1055"/>
      <c r="G54" s="1055"/>
      <c r="H54" s="1055"/>
      <c r="I54" s="1055"/>
      <c r="J54" s="1055"/>
      <c r="K54" s="1055"/>
      <c r="L54" s="1055"/>
      <c r="M54" s="1056"/>
      <c r="N54" s="382"/>
    </row>
    <row r="55" spans="1:25" s="306" customFormat="1" ht="24.95" customHeight="1" x14ac:dyDescent="0.2">
      <c r="A55" s="164"/>
      <c r="B55" s="953" t="s">
        <v>287</v>
      </c>
      <c r="C55" s="954"/>
      <c r="D55" s="954"/>
      <c r="E55" s="954"/>
      <c r="F55" s="954"/>
      <c r="G55" s="954"/>
      <c r="H55" s="954"/>
      <c r="I55" s="954"/>
      <c r="J55" s="954"/>
      <c r="K55" s="954"/>
      <c r="L55" s="954"/>
      <c r="M55" s="955"/>
      <c r="N55" s="382"/>
      <c r="O55" s="164"/>
      <c r="P55" s="164"/>
      <c r="Q55" s="164"/>
      <c r="R55" s="164"/>
      <c r="S55" s="164"/>
      <c r="T55" s="164"/>
      <c r="U55" s="164"/>
      <c r="V55" s="164"/>
      <c r="W55" s="164"/>
      <c r="X55" s="164"/>
      <c r="Y55" s="164"/>
    </row>
    <row r="56" spans="1:25" s="507" customFormat="1" ht="39.75" customHeight="1" x14ac:dyDescent="0.2">
      <c r="B56" s="1019" t="s">
        <v>499</v>
      </c>
      <c r="C56" s="1020"/>
      <c r="D56" s="1057"/>
      <c r="E56" s="1058"/>
      <c r="F56" s="1058"/>
      <c r="G56" s="1058"/>
      <c r="H56" s="1058"/>
      <c r="I56" s="1058"/>
      <c r="J56" s="1058"/>
      <c r="K56" s="1058"/>
      <c r="L56" s="1058"/>
      <c r="M56" s="1059"/>
      <c r="N56" s="382"/>
    </row>
    <row r="57" spans="1:25" s="507" customFormat="1" ht="39.75" hidden="1" customHeight="1" x14ac:dyDescent="0.2">
      <c r="B57" s="1019" t="s">
        <v>500</v>
      </c>
      <c r="C57" s="1020"/>
      <c r="D57" s="1129"/>
      <c r="E57" s="1130"/>
      <c r="F57" s="1130"/>
      <c r="G57" s="1130"/>
      <c r="H57" s="1130"/>
      <c r="I57" s="1130"/>
      <c r="J57" s="1130"/>
      <c r="K57" s="1130"/>
      <c r="L57" s="1130"/>
      <c r="M57" s="1131"/>
      <c r="N57" s="382"/>
    </row>
    <row r="58" spans="1:25" s="507" customFormat="1" ht="79.5" customHeight="1" x14ac:dyDescent="0.2">
      <c r="B58" s="374" t="s">
        <v>318</v>
      </c>
      <c r="C58" s="375" t="s">
        <v>284</v>
      </c>
      <c r="D58" s="1034" t="s">
        <v>568</v>
      </c>
      <c r="E58" s="1034"/>
      <c r="F58" s="1034"/>
      <c r="G58" s="1040" t="s">
        <v>490</v>
      </c>
      <c r="H58" s="1041"/>
      <c r="I58" s="1042"/>
      <c r="J58" s="631" t="s">
        <v>269</v>
      </c>
      <c r="K58" s="631" t="s">
        <v>491</v>
      </c>
      <c r="L58" s="631" t="s">
        <v>492</v>
      </c>
      <c r="M58" s="376" t="s">
        <v>322</v>
      </c>
      <c r="N58" s="382"/>
    </row>
    <row r="59" spans="1:25" ht="24.95" customHeight="1" x14ac:dyDescent="0.2">
      <c r="B59" s="399"/>
      <c r="C59" s="400"/>
      <c r="D59" s="1043" t="e">
        <f>IF('SITE SUMMARY'!$G$35="High",E163,"-")</f>
        <v>#DIV/0!</v>
      </c>
      <c r="E59" s="1044"/>
      <c r="F59" s="1045"/>
      <c r="G59" s="1060"/>
      <c r="H59" s="1061"/>
      <c r="I59" s="1062"/>
      <c r="J59" s="378">
        <f>IF(ISERROR(VLOOKUP(C59,BMP,2,FALSE)),0,VLOOKUP(C59,BMP,2,FALSE))</f>
        <v>0</v>
      </c>
      <c r="K59" s="625">
        <f>IF(ISERROR($H$114),D56,$H$114+D56)</f>
        <v>0</v>
      </c>
      <c r="L59" s="625">
        <f>IF(ISERROR(K59*J59),0,K59*J59)</f>
        <v>0</v>
      </c>
      <c r="M59" s="401"/>
      <c r="N59" s="382"/>
      <c r="O59" s="379"/>
      <c r="P59" s="379"/>
      <c r="Q59" s="379"/>
      <c r="R59" s="379"/>
      <c r="S59" s="379"/>
      <c r="T59" s="379"/>
    </row>
    <row r="60" spans="1:25" ht="24.95" customHeight="1" x14ac:dyDescent="0.2">
      <c r="B60" s="399"/>
      <c r="C60" s="400"/>
      <c r="D60" s="1046"/>
      <c r="E60" s="1047"/>
      <c r="F60" s="1048"/>
      <c r="G60" s="1063"/>
      <c r="H60" s="1064"/>
      <c r="I60" s="1065"/>
      <c r="J60" s="378">
        <f>IF(ISERROR(VLOOKUP(C60,BMP,2,FALSE)),0,VLOOKUP(C60,BMP,2,FALSE))</f>
        <v>0</v>
      </c>
      <c r="K60" s="625">
        <f>IF(ISERROR(K59-L59),0,K59-L59)</f>
        <v>0</v>
      </c>
      <c r="L60" s="625">
        <f>IF(ISERROR(K60*J60),0,K60*J60)</f>
        <v>0</v>
      </c>
      <c r="M60" s="401"/>
      <c r="N60" s="382"/>
    </row>
    <row r="61" spans="1:25" ht="24.95" customHeight="1" x14ac:dyDescent="0.2">
      <c r="B61" s="399"/>
      <c r="C61" s="400"/>
      <c r="D61" s="1046"/>
      <c r="E61" s="1047"/>
      <c r="F61" s="1048"/>
      <c r="G61" s="1063"/>
      <c r="H61" s="1064"/>
      <c r="I61" s="1065"/>
      <c r="J61" s="378">
        <f>IF(ISERROR(VLOOKUP(C61,BMP,2,FALSE)),0,VLOOKUP(C61,BMP,2,FALSE))</f>
        <v>0</v>
      </c>
      <c r="K61" s="625">
        <f>IF(ISERROR(K60-L60),0,K60-L60)</f>
        <v>0</v>
      </c>
      <c r="L61" s="625">
        <f>IF(ISERROR(K61*J61),0,K61*J61)</f>
        <v>0</v>
      </c>
      <c r="M61" s="401"/>
      <c r="N61" s="382"/>
    </row>
    <row r="62" spans="1:25" ht="24.95" customHeight="1" x14ac:dyDescent="0.2">
      <c r="B62" s="399"/>
      <c r="C62" s="400"/>
      <c r="D62" s="1046"/>
      <c r="E62" s="1047"/>
      <c r="F62" s="1048"/>
      <c r="G62" s="1063"/>
      <c r="H62" s="1064"/>
      <c r="I62" s="1065"/>
      <c r="J62" s="378">
        <f>IF(ISERROR(VLOOKUP(C62,BMP,2,FALSE)),0,VLOOKUP(C62,BMP,2,FALSE))</f>
        <v>0</v>
      </c>
      <c r="K62" s="625">
        <f>IF(ISERROR(K61-L61),0,K61-L61)</f>
        <v>0</v>
      </c>
      <c r="L62" s="625">
        <f>IF(ISERROR(K62*J62),0,K62*J62)</f>
        <v>0</v>
      </c>
      <c r="M62" s="401"/>
      <c r="N62" s="382"/>
    </row>
    <row r="63" spans="1:25" ht="24.95" customHeight="1" x14ac:dyDescent="0.2">
      <c r="B63" s="399"/>
      <c r="C63" s="400"/>
      <c r="D63" s="1049"/>
      <c r="E63" s="1050"/>
      <c r="F63" s="1051"/>
      <c r="G63" s="1066"/>
      <c r="H63" s="1067"/>
      <c r="I63" s="1068"/>
      <c r="J63" s="378">
        <f>IF(ISERROR(VLOOKUP(C63,BMP,2,FALSE)),0,VLOOKUP(C63,BMP,2,FALSE))</f>
        <v>0</v>
      </c>
      <c r="K63" s="625">
        <f>IF(ISERROR(K62-L62),0,K62-L62)</f>
        <v>0</v>
      </c>
      <c r="L63" s="625">
        <f>IF(ISERROR(K63*J63),0,K63*J63)</f>
        <v>0</v>
      </c>
      <c r="M63" s="401"/>
      <c r="N63" s="381" t="e">
        <f>IF(G59&gt;(D59+5),"Exceeds Available Volume!","")</f>
        <v>#DIV/0!</v>
      </c>
    </row>
    <row r="64" spans="1:25" ht="24.95" customHeight="1" x14ac:dyDescent="0.2">
      <c r="B64" s="1052" t="s">
        <v>371</v>
      </c>
      <c r="C64" s="1053"/>
      <c r="D64" s="1054">
        <f>IF(J63&gt;0,K63-L63,IF(J62&gt;0,K62-L62,IF(J61&gt;0,K61-L61,IF(J60&gt;0,K60-L60,K59-L59))))</f>
        <v>0</v>
      </c>
      <c r="E64" s="1055"/>
      <c r="F64" s="1055"/>
      <c r="G64" s="1055"/>
      <c r="H64" s="1055"/>
      <c r="I64" s="1055"/>
      <c r="J64" s="1055"/>
      <c r="K64" s="1055"/>
      <c r="L64" s="1055"/>
      <c r="M64" s="1056"/>
      <c r="N64" s="382"/>
    </row>
    <row r="65" spans="1:25" s="306" customFormat="1" ht="24.95" customHeight="1" x14ac:dyDescent="0.2">
      <c r="A65" s="164"/>
      <c r="B65" s="953" t="s">
        <v>372</v>
      </c>
      <c r="C65" s="954"/>
      <c r="D65" s="954"/>
      <c r="E65" s="954"/>
      <c r="F65" s="954"/>
      <c r="G65" s="954"/>
      <c r="H65" s="954"/>
      <c r="I65" s="954"/>
      <c r="J65" s="954"/>
      <c r="K65" s="954"/>
      <c r="L65" s="954"/>
      <c r="M65" s="955"/>
      <c r="N65" s="334"/>
      <c r="O65" s="164"/>
      <c r="P65" s="164"/>
      <c r="Q65" s="164"/>
      <c r="R65" s="164"/>
      <c r="S65" s="164"/>
      <c r="T65" s="164"/>
      <c r="U65" s="164"/>
      <c r="V65" s="164"/>
      <c r="W65" s="164"/>
      <c r="X65" s="164"/>
      <c r="Y65" s="164"/>
    </row>
    <row r="66" spans="1:25" s="507" customFormat="1" ht="39.950000000000003" customHeight="1" x14ac:dyDescent="0.2">
      <c r="B66" s="1019" t="s">
        <v>373</v>
      </c>
      <c r="C66" s="1020"/>
      <c r="D66" s="1057"/>
      <c r="E66" s="1058"/>
      <c r="F66" s="1058"/>
      <c r="G66" s="1058"/>
      <c r="H66" s="1058"/>
      <c r="I66" s="1058"/>
      <c r="J66" s="1058"/>
      <c r="K66" s="1058"/>
      <c r="L66" s="1058"/>
      <c r="M66" s="1059"/>
      <c r="N66" s="382"/>
    </row>
    <row r="67" spans="1:25" s="507" customFormat="1" ht="39.950000000000003" hidden="1" customHeight="1" x14ac:dyDescent="0.2">
      <c r="B67" s="1019" t="s">
        <v>501</v>
      </c>
      <c r="C67" s="1020"/>
      <c r="D67" s="1129"/>
      <c r="E67" s="1130"/>
      <c r="F67" s="1130"/>
      <c r="G67" s="1130"/>
      <c r="H67" s="1130"/>
      <c r="I67" s="1130"/>
      <c r="J67" s="1130"/>
      <c r="K67" s="1130"/>
      <c r="L67" s="1130"/>
      <c r="M67" s="1131"/>
      <c r="N67" s="382"/>
    </row>
    <row r="68" spans="1:25" s="507" customFormat="1" ht="79.5" customHeight="1" x14ac:dyDescent="0.2">
      <c r="B68" s="374" t="s">
        <v>318</v>
      </c>
      <c r="C68" s="375" t="s">
        <v>284</v>
      </c>
      <c r="D68" s="1034" t="s">
        <v>568</v>
      </c>
      <c r="E68" s="1034"/>
      <c r="F68" s="1034"/>
      <c r="G68" s="1034" t="s">
        <v>490</v>
      </c>
      <c r="H68" s="1034"/>
      <c r="I68" s="1034"/>
      <c r="J68" s="631" t="s">
        <v>269</v>
      </c>
      <c r="K68" s="631" t="s">
        <v>491</v>
      </c>
      <c r="L68" s="631" t="s">
        <v>492</v>
      </c>
      <c r="M68" s="376" t="s">
        <v>322</v>
      </c>
      <c r="N68" s="382"/>
    </row>
    <row r="69" spans="1:25" ht="24.95" customHeight="1" x14ac:dyDescent="0.2">
      <c r="B69" s="399"/>
      <c r="C69" s="400"/>
      <c r="D69" s="1043" t="e">
        <f>IF('SITE SUMMARY'!$G$35="High",E167,"-")</f>
        <v>#DIV/0!</v>
      </c>
      <c r="E69" s="1044"/>
      <c r="F69" s="1045"/>
      <c r="G69" s="1060"/>
      <c r="H69" s="1061"/>
      <c r="I69" s="1062"/>
      <c r="J69" s="378">
        <f>IF(ISERROR(VLOOKUP(C69,BMP,2,FALSE)),0,VLOOKUP(C69,BMP,2,FALSE))</f>
        <v>0</v>
      </c>
      <c r="K69" s="625">
        <f>IF(ISERROR($I$114),D66,$I$114+D66)</f>
        <v>0</v>
      </c>
      <c r="L69" s="625">
        <f>IF(ISERROR(K69*J69),0,K69*J69)</f>
        <v>0</v>
      </c>
      <c r="M69" s="401"/>
      <c r="N69" s="382"/>
      <c r="O69" s="379"/>
      <c r="P69" s="379"/>
      <c r="Q69" s="379"/>
      <c r="R69" s="379"/>
      <c r="S69" s="379"/>
      <c r="T69" s="379"/>
    </row>
    <row r="70" spans="1:25" ht="24.95" customHeight="1" x14ac:dyDescent="0.2">
      <c r="B70" s="399"/>
      <c r="C70" s="400"/>
      <c r="D70" s="1046"/>
      <c r="E70" s="1047"/>
      <c r="F70" s="1048"/>
      <c r="G70" s="1063"/>
      <c r="H70" s="1064"/>
      <c r="I70" s="1065"/>
      <c r="J70" s="378">
        <f>IF(ISERROR(VLOOKUP(C70,BMP,2,FALSE)),0,VLOOKUP(C70,BMP,2,FALSE))</f>
        <v>0</v>
      </c>
      <c r="K70" s="625">
        <f>IF(ISERROR(K69-L69),0,K69-L69)</f>
        <v>0</v>
      </c>
      <c r="L70" s="625">
        <f>IF(ISERROR(K70*J70),0,K70*J70)</f>
        <v>0</v>
      </c>
      <c r="M70" s="401"/>
      <c r="N70" s="382"/>
    </row>
    <row r="71" spans="1:25" ht="24.95" customHeight="1" x14ac:dyDescent="0.2">
      <c r="B71" s="399"/>
      <c r="C71" s="400"/>
      <c r="D71" s="1046"/>
      <c r="E71" s="1047"/>
      <c r="F71" s="1048"/>
      <c r="G71" s="1063"/>
      <c r="H71" s="1064"/>
      <c r="I71" s="1065"/>
      <c r="J71" s="378">
        <f>IF(ISERROR(VLOOKUP(C71,BMP,2,FALSE)),0,VLOOKUP(C71,BMP,2,FALSE))</f>
        <v>0</v>
      </c>
      <c r="K71" s="625">
        <f>IF(ISERROR(K70-L70),0,K70-L70)</f>
        <v>0</v>
      </c>
      <c r="L71" s="625">
        <f>IF(ISERROR(K71*J71),0,K71*J71)</f>
        <v>0</v>
      </c>
      <c r="M71" s="401"/>
      <c r="N71" s="382"/>
    </row>
    <row r="72" spans="1:25" ht="24.95" customHeight="1" x14ac:dyDescent="0.2">
      <c r="B72" s="399"/>
      <c r="C72" s="400"/>
      <c r="D72" s="1046"/>
      <c r="E72" s="1047"/>
      <c r="F72" s="1048"/>
      <c r="G72" s="1063"/>
      <c r="H72" s="1064"/>
      <c r="I72" s="1065"/>
      <c r="J72" s="378">
        <f>IF(ISERROR(VLOOKUP(C72,BMP,2,FALSE)),0,VLOOKUP(C72,BMP,2,FALSE))</f>
        <v>0</v>
      </c>
      <c r="K72" s="625">
        <f>IF(ISERROR(K71-L71),0,K71-L71)</f>
        <v>0</v>
      </c>
      <c r="L72" s="625">
        <f>IF(ISERROR(K72*J72),0,K72*J72)</f>
        <v>0</v>
      </c>
      <c r="M72" s="401"/>
      <c r="N72" s="382"/>
    </row>
    <row r="73" spans="1:25" ht="24.95" customHeight="1" x14ac:dyDescent="0.2">
      <c r="B73" s="399"/>
      <c r="C73" s="400"/>
      <c r="D73" s="1049"/>
      <c r="E73" s="1050"/>
      <c r="F73" s="1051"/>
      <c r="G73" s="1066"/>
      <c r="H73" s="1067"/>
      <c r="I73" s="1068"/>
      <c r="J73" s="378">
        <f>IF(ISERROR(VLOOKUP(C73,BMP,2,FALSE)),0,VLOOKUP(C73,BMP,2,FALSE))</f>
        <v>0</v>
      </c>
      <c r="K73" s="625">
        <f>IF(ISERROR(K72-L72),0,K72-L72)</f>
        <v>0</v>
      </c>
      <c r="L73" s="625">
        <f>IF(ISERROR(K73*J73),0,K73*J73)</f>
        <v>0</v>
      </c>
      <c r="M73" s="401"/>
      <c r="N73" s="381" t="e">
        <f>IF(G69&gt;(D69+5),"Exceeds Available Volume!","")</f>
        <v>#DIV/0!</v>
      </c>
    </row>
    <row r="74" spans="1:25" ht="24.95" customHeight="1" x14ac:dyDescent="0.2">
      <c r="B74" s="1052" t="s">
        <v>371</v>
      </c>
      <c r="C74" s="1053"/>
      <c r="D74" s="1054">
        <f>IF(J73&gt;0,K73-L73,IF(J72&gt;0,K72-L72,IF(J71&gt;0,K71-L71,IF(J70&gt;0,K70-L70,K69-L69))))</f>
        <v>0</v>
      </c>
      <c r="E74" s="1055"/>
      <c r="F74" s="1055"/>
      <c r="G74" s="1055"/>
      <c r="H74" s="1055"/>
      <c r="I74" s="1055"/>
      <c r="J74" s="1055"/>
      <c r="K74" s="1055"/>
      <c r="L74" s="1055"/>
      <c r="M74" s="1056"/>
      <c r="N74" s="382"/>
    </row>
    <row r="75" spans="1:25" ht="24.95" customHeight="1" x14ac:dyDescent="0.2">
      <c r="B75" s="1116" t="s">
        <v>615</v>
      </c>
      <c r="C75" s="1117"/>
      <c r="D75" s="1117"/>
      <c r="E75" s="1117"/>
      <c r="F75" s="1117"/>
      <c r="G75" s="1117"/>
      <c r="H75" s="1117"/>
      <c r="I75" s="1117"/>
      <c r="J75" s="1117"/>
      <c r="K75" s="1117"/>
      <c r="L75" s="1117"/>
      <c r="M75" s="1118"/>
      <c r="N75" s="1132" t="s">
        <v>422</v>
      </c>
    </row>
    <row r="76" spans="1:25" ht="24.95" customHeight="1" x14ac:dyDescent="0.2">
      <c r="B76" s="1110" t="s">
        <v>493</v>
      </c>
      <c r="C76" s="1111"/>
      <c r="D76" s="1112">
        <f>G29+G39+G49+G59+G69</f>
        <v>0</v>
      </c>
      <c r="E76" s="1113"/>
      <c r="F76" s="1113"/>
      <c r="G76" s="1113"/>
      <c r="H76" s="1113"/>
      <c r="I76" s="1113"/>
      <c r="J76" s="1113"/>
      <c r="K76" s="1113"/>
      <c r="L76" s="1113"/>
      <c r="M76" s="1114"/>
      <c r="N76" s="1132"/>
    </row>
    <row r="77" spans="1:25" ht="24.95" customHeight="1" x14ac:dyDescent="0.2">
      <c r="B77" s="1069" t="s">
        <v>338</v>
      </c>
      <c r="C77" s="884"/>
      <c r="D77" s="1070">
        <f>SUM(L29:L33,L39:L43,L49:L53,L59:L63,L69:L73)</f>
        <v>0</v>
      </c>
      <c r="E77" s="1070"/>
      <c r="F77" s="1070"/>
      <c r="G77" s="1070"/>
      <c r="H77" s="1070"/>
      <c r="I77" s="1070"/>
      <c r="J77" s="1070"/>
      <c r="K77" s="1070"/>
      <c r="L77" s="1070"/>
      <c r="M77" s="1071"/>
      <c r="N77" s="1132"/>
    </row>
    <row r="78" spans="1:25" ht="24.95" customHeight="1" x14ac:dyDescent="0.2">
      <c r="B78" s="1099" t="s">
        <v>337</v>
      </c>
      <c r="C78" s="1100"/>
      <c r="D78" s="1100"/>
      <c r="E78" s="1100"/>
      <c r="F78" s="1100"/>
      <c r="G78" s="1100"/>
      <c r="H78" s="1100"/>
      <c r="I78" s="1100"/>
      <c r="J78" s="1100"/>
      <c r="K78" s="1100"/>
      <c r="L78" s="1100"/>
      <c r="M78" s="1101"/>
      <c r="N78" s="1132"/>
    </row>
    <row r="79" spans="1:25" ht="24.95" customHeight="1" x14ac:dyDescent="0.2">
      <c r="B79" s="883" t="s">
        <v>465</v>
      </c>
      <c r="C79" s="884"/>
      <c r="D79" s="1072">
        <f>IF(('DA3'!H83-D76)&lt;0,0,'DA3'!H83-D76)</f>
        <v>0</v>
      </c>
      <c r="E79" s="1072"/>
      <c r="F79" s="1072"/>
      <c r="G79" s="1072"/>
      <c r="H79" s="1072"/>
      <c r="I79" s="1072"/>
      <c r="J79" s="1072"/>
      <c r="K79" s="1072"/>
      <c r="L79" s="1072"/>
      <c r="M79" s="1073"/>
      <c r="N79" s="1132"/>
    </row>
    <row r="80" spans="1:25" ht="24.95" customHeight="1" x14ac:dyDescent="0.2">
      <c r="B80" s="1069" t="s">
        <v>413</v>
      </c>
      <c r="C80" s="884"/>
      <c r="D80" s="1074" t="e">
        <f>((((D79)/(C9*43560)))*12)</f>
        <v>#VALUE!</v>
      </c>
      <c r="E80" s="1074"/>
      <c r="F80" s="1074"/>
      <c r="G80" s="1074"/>
      <c r="H80" s="1074"/>
      <c r="I80" s="1074"/>
      <c r="J80" s="1074"/>
      <c r="K80" s="1074"/>
      <c r="L80" s="1074"/>
      <c r="M80" s="1075"/>
      <c r="N80" s="1132"/>
    </row>
    <row r="81" spans="1:14" ht="24.95" customHeight="1" x14ac:dyDescent="0.2">
      <c r="B81" s="1069" t="s">
        <v>409</v>
      </c>
      <c r="C81" s="884"/>
      <c r="D81" s="1076">
        <f>IF(ISERROR(VLOOKUP($D$80,CN,2,TRUE)),0,VLOOKUP($D$80,CN,2,TRUE))</f>
        <v>0</v>
      </c>
      <c r="E81" s="1076"/>
      <c r="F81" s="1076"/>
      <c r="G81" s="1076"/>
      <c r="H81" s="1076"/>
      <c r="I81" s="1076"/>
      <c r="J81" s="1076"/>
      <c r="K81" s="1076"/>
      <c r="L81" s="1076"/>
      <c r="M81" s="1077"/>
      <c r="N81" s="1132"/>
    </row>
    <row r="82" spans="1:14" ht="33.75" customHeight="1" x14ac:dyDescent="0.2">
      <c r="B82" s="1069" t="s">
        <v>353</v>
      </c>
      <c r="C82" s="884"/>
      <c r="D82" s="1102"/>
      <c r="E82" s="1103"/>
      <c r="F82" s="1103"/>
      <c r="G82" s="1103"/>
      <c r="H82" s="1103"/>
      <c r="I82" s="1103"/>
      <c r="J82" s="1103"/>
      <c r="K82" s="1103"/>
      <c r="L82" s="1103"/>
      <c r="M82" s="1104"/>
      <c r="N82" s="1132"/>
    </row>
    <row r="83" spans="1:14" ht="24.95" customHeight="1" x14ac:dyDescent="0.2">
      <c r="B83" s="1099" t="s">
        <v>374</v>
      </c>
      <c r="C83" s="1100"/>
      <c r="D83" s="1100"/>
      <c r="E83" s="1100"/>
      <c r="F83" s="1100"/>
      <c r="G83" s="1100"/>
      <c r="H83" s="1100"/>
      <c r="I83" s="1100"/>
      <c r="J83" s="1100"/>
      <c r="K83" s="1100"/>
      <c r="L83" s="1100"/>
      <c r="M83" s="1101"/>
      <c r="N83" s="1132"/>
    </row>
    <row r="84" spans="1:14" ht="24.95" customHeight="1" x14ac:dyDescent="0.2">
      <c r="B84" s="883" t="s">
        <v>416</v>
      </c>
      <c r="C84" s="884"/>
      <c r="D84" s="1072" t="e">
        <f>IF(('DA3'!H88-D76)&lt;0,0,'DA3'!H88-D76)</f>
        <v>#VALUE!</v>
      </c>
      <c r="E84" s="1072"/>
      <c r="F84" s="1072"/>
      <c r="G84" s="1072"/>
      <c r="H84" s="1072"/>
      <c r="I84" s="1072"/>
      <c r="J84" s="1072"/>
      <c r="K84" s="1072"/>
      <c r="L84" s="1072"/>
      <c r="M84" s="1073"/>
      <c r="N84" s="1132"/>
    </row>
    <row r="85" spans="1:14" ht="24.95" customHeight="1" x14ac:dyDescent="0.2">
      <c r="B85" s="1105" t="s">
        <v>411</v>
      </c>
      <c r="C85" s="1106"/>
      <c r="D85" s="1074" t="e">
        <f>((D84/(C9*43560)))*12</f>
        <v>#VALUE!</v>
      </c>
      <c r="E85" s="1074"/>
      <c r="F85" s="1074"/>
      <c r="G85" s="1074"/>
      <c r="H85" s="1074"/>
      <c r="I85" s="1074"/>
      <c r="J85" s="1074"/>
      <c r="K85" s="1074"/>
      <c r="L85" s="1074"/>
      <c r="M85" s="1075"/>
      <c r="N85" s="1132"/>
    </row>
    <row r="86" spans="1:14" ht="24.95" customHeight="1" x14ac:dyDescent="0.2">
      <c r="B86" s="1069" t="s">
        <v>431</v>
      </c>
      <c r="C86" s="884"/>
      <c r="D86" s="1076">
        <f>IF(ISERROR(VLOOKUP(D85,CN2YR,2,TRUE)),0,VLOOKUP(D85,CN2YR,2,TRUE))</f>
        <v>0</v>
      </c>
      <c r="E86" s="1076"/>
      <c r="F86" s="1076"/>
      <c r="G86" s="1076"/>
      <c r="H86" s="1076"/>
      <c r="I86" s="1076"/>
      <c r="J86" s="1076"/>
      <c r="K86" s="1076"/>
      <c r="L86" s="1076"/>
      <c r="M86" s="1077"/>
      <c r="N86" s="1132"/>
    </row>
    <row r="87" spans="1:14" ht="33.75" customHeight="1" x14ac:dyDescent="0.2">
      <c r="B87" s="1069" t="s">
        <v>410</v>
      </c>
      <c r="C87" s="884"/>
      <c r="D87" s="1102"/>
      <c r="E87" s="1103"/>
      <c r="F87" s="1103"/>
      <c r="G87" s="1103"/>
      <c r="H87" s="1103"/>
      <c r="I87" s="1103"/>
      <c r="J87" s="1103"/>
      <c r="K87" s="1103"/>
      <c r="L87" s="1103"/>
      <c r="M87" s="1104"/>
      <c r="N87" s="1132"/>
    </row>
    <row r="88" spans="1:14" ht="24.95" customHeight="1" x14ac:dyDescent="0.2">
      <c r="B88" s="1099" t="s">
        <v>376</v>
      </c>
      <c r="C88" s="1100"/>
      <c r="D88" s="1100"/>
      <c r="E88" s="1100"/>
      <c r="F88" s="1100"/>
      <c r="G88" s="1100"/>
      <c r="H88" s="1100"/>
      <c r="I88" s="1100"/>
      <c r="J88" s="1100"/>
      <c r="K88" s="1100"/>
      <c r="L88" s="1100"/>
      <c r="M88" s="1101"/>
      <c r="N88" s="1132"/>
    </row>
    <row r="89" spans="1:14" s="169" customFormat="1" ht="24.95" hidden="1" customHeight="1" x14ac:dyDescent="0.2">
      <c r="A89" s="216"/>
      <c r="B89" s="1097" t="s">
        <v>417</v>
      </c>
      <c r="C89" s="1098"/>
      <c r="D89" s="1078" t="e">
        <f>('DA3'!H91/12)*('DA3'!H10*43560)</f>
        <v>#VALUE!</v>
      </c>
      <c r="E89" s="1079"/>
      <c r="F89" s="1079"/>
      <c r="G89" s="1079"/>
      <c r="H89" s="1079"/>
      <c r="I89" s="1079"/>
      <c r="J89" s="1079"/>
      <c r="K89" s="1079"/>
      <c r="L89" s="1079"/>
      <c r="M89" s="1080"/>
      <c r="N89" s="1132"/>
    </row>
    <row r="90" spans="1:14" ht="24.95" customHeight="1" x14ac:dyDescent="0.2">
      <c r="B90" s="883" t="s">
        <v>466</v>
      </c>
      <c r="C90" s="884"/>
      <c r="D90" s="1072" t="e">
        <f>IF(('DA3'!H92-D76)&lt;0,0,'DA3'!H92-D76)</f>
        <v>#VALUE!</v>
      </c>
      <c r="E90" s="1072"/>
      <c r="F90" s="1072"/>
      <c r="G90" s="1072"/>
      <c r="H90" s="1072"/>
      <c r="I90" s="1072"/>
      <c r="J90" s="1072"/>
      <c r="K90" s="1072"/>
      <c r="L90" s="1072"/>
      <c r="M90" s="1073"/>
      <c r="N90" s="1132"/>
    </row>
    <row r="91" spans="1:14" ht="24.95" customHeight="1" x14ac:dyDescent="0.2">
      <c r="B91" s="1069" t="s">
        <v>432</v>
      </c>
      <c r="C91" s="884"/>
      <c r="D91" s="1074" t="e">
        <f>((D90/(C9*43560)))*12</f>
        <v>#VALUE!</v>
      </c>
      <c r="E91" s="1074"/>
      <c r="F91" s="1074"/>
      <c r="G91" s="1074"/>
      <c r="H91" s="1074"/>
      <c r="I91" s="1074"/>
      <c r="J91" s="1074"/>
      <c r="K91" s="1074"/>
      <c r="L91" s="1074"/>
      <c r="M91" s="1075"/>
      <c r="N91" s="1132"/>
    </row>
    <row r="92" spans="1:14" ht="24.95" customHeight="1" x14ac:dyDescent="0.2">
      <c r="B92" s="1105" t="s">
        <v>433</v>
      </c>
      <c r="C92" s="1106"/>
      <c r="D92" s="1076">
        <f>IF(ISERROR(VLOOKUP(D91,CN2YR,2,TRUE)),0,VLOOKUP(D91,CN2YR,2,TRUE))</f>
        <v>0</v>
      </c>
      <c r="E92" s="1076"/>
      <c r="F92" s="1076"/>
      <c r="G92" s="1076"/>
      <c r="H92" s="1076"/>
      <c r="I92" s="1076"/>
      <c r="J92" s="1076"/>
      <c r="K92" s="1076"/>
      <c r="L92" s="1076"/>
      <c r="M92" s="1077"/>
      <c r="N92" s="1132"/>
    </row>
    <row r="93" spans="1:14" ht="33.75" customHeight="1" thickBot="1" x14ac:dyDescent="0.25">
      <c r="B93" s="1021" t="s">
        <v>412</v>
      </c>
      <c r="C93" s="1022"/>
      <c r="D93" s="1023"/>
      <c r="E93" s="1024"/>
      <c r="F93" s="1024"/>
      <c r="G93" s="1024"/>
      <c r="H93" s="1024"/>
      <c r="I93" s="1024"/>
      <c r="J93" s="1024"/>
      <c r="K93" s="1024"/>
      <c r="L93" s="1024"/>
      <c r="M93" s="1025"/>
      <c r="N93" s="1132"/>
    </row>
    <row r="94" spans="1:14" s="507" customFormat="1" x14ac:dyDescent="0.2">
      <c r="K94" s="573"/>
    </row>
    <row r="95" spans="1:14" s="507" customFormat="1" hidden="1" x14ac:dyDescent="0.2">
      <c r="K95" s="573"/>
    </row>
    <row r="96" spans="1:14" s="507" customFormat="1" hidden="1" x14ac:dyDescent="0.2">
      <c r="K96" s="573"/>
    </row>
    <row r="97" spans="1:25" s="507" customFormat="1" hidden="1" x14ac:dyDescent="0.2">
      <c r="K97" s="573"/>
    </row>
    <row r="98" spans="1:25" s="507" customFormat="1" hidden="1" x14ac:dyDescent="0.2">
      <c r="K98" s="573"/>
      <c r="N98" s="344"/>
    </row>
    <row r="99" spans="1:25" s="383" customFormat="1" ht="15.75" hidden="1" x14ac:dyDescent="0.25">
      <c r="A99" s="508"/>
      <c r="B99" s="313" t="s">
        <v>126</v>
      </c>
      <c r="K99" s="449"/>
    </row>
    <row r="100" spans="1:25" hidden="1" x14ac:dyDescent="0.2">
      <c r="B100" s="507"/>
      <c r="C100" s="507"/>
      <c r="D100" s="507"/>
      <c r="E100" s="507"/>
      <c r="F100" s="507"/>
      <c r="G100" s="507"/>
      <c r="H100" s="507"/>
      <c r="I100" s="507"/>
      <c r="J100" s="507"/>
      <c r="K100" s="573"/>
      <c r="L100" s="507"/>
      <c r="M100" s="507"/>
      <c r="N100" s="347"/>
    </row>
    <row r="101" spans="1:25" hidden="1" x14ac:dyDescent="0.2">
      <c r="B101" s="507"/>
      <c r="C101" s="507"/>
      <c r="D101" s="507"/>
      <c r="E101" s="507"/>
      <c r="F101" s="507"/>
      <c r="G101" s="507"/>
      <c r="H101" s="507"/>
      <c r="I101" s="507"/>
      <c r="J101" s="507"/>
      <c r="K101" s="573"/>
      <c r="L101" s="507"/>
      <c r="M101" s="507"/>
      <c r="N101" s="347"/>
    </row>
    <row r="102" spans="1:25" ht="18" hidden="1" x14ac:dyDescent="0.25">
      <c r="B102" s="384" t="s">
        <v>276</v>
      </c>
      <c r="C102" s="384"/>
      <c r="D102" s="384"/>
      <c r="E102" s="384"/>
      <c r="F102" s="384"/>
      <c r="G102" s="384"/>
      <c r="H102" s="384"/>
      <c r="I102" s="384"/>
      <c r="J102" s="384"/>
      <c r="K102" s="384"/>
      <c r="L102" s="384"/>
      <c r="M102" s="384"/>
      <c r="N102" s="347"/>
    </row>
    <row r="103" spans="1:25" hidden="1" x14ac:dyDescent="0.2">
      <c r="B103" s="507"/>
      <c r="C103" s="507"/>
      <c r="D103" s="507"/>
      <c r="E103" s="507"/>
      <c r="F103" s="507"/>
      <c r="G103" s="507"/>
      <c r="H103" s="507"/>
      <c r="I103" s="507"/>
      <c r="J103" s="507"/>
      <c r="K103" s="573"/>
      <c r="L103" s="507"/>
      <c r="M103" s="507"/>
      <c r="N103" s="347"/>
    </row>
    <row r="104" spans="1:25" ht="47.25" hidden="1" x14ac:dyDescent="0.2">
      <c r="B104" s="385" t="s">
        <v>273</v>
      </c>
      <c r="C104" s="386"/>
      <c r="D104" s="579" t="s">
        <v>553</v>
      </c>
      <c r="E104" s="580" t="s">
        <v>616</v>
      </c>
      <c r="F104" s="580" t="s">
        <v>617</v>
      </c>
      <c r="G104" s="580" t="s">
        <v>618</v>
      </c>
      <c r="H104" s="591" t="s">
        <v>619</v>
      </c>
      <c r="I104" s="591" t="s">
        <v>620</v>
      </c>
      <c r="J104" s="507"/>
      <c r="K104" s="507"/>
      <c r="L104" s="609"/>
      <c r="M104" s="507"/>
      <c r="N104" s="507"/>
      <c r="X104" s="161"/>
      <c r="Y104" s="161"/>
    </row>
    <row r="105" spans="1:25" hidden="1" x14ac:dyDescent="0.2">
      <c r="B105" s="592" t="s">
        <v>12</v>
      </c>
      <c r="C105" s="387"/>
      <c r="D105" s="578">
        <v>1.2</v>
      </c>
      <c r="E105" s="388">
        <f>(SUM(D17:E17))*$D$105</f>
        <v>0</v>
      </c>
      <c r="F105" s="388">
        <f t="shared" ref="F105:F112" si="1">(SUM(F17:G17))*D105</f>
        <v>0</v>
      </c>
      <c r="G105" s="388">
        <f t="shared" ref="G105:G112" si="2">(SUM(H17:I17))*D105</f>
        <v>0</v>
      </c>
      <c r="H105" s="388">
        <f t="shared" ref="H105:H112" si="3">(SUM(J17:K17))*D105</f>
        <v>0</v>
      </c>
      <c r="I105" s="388">
        <f t="shared" ref="I105:I112" si="4">(SUM(L17:M17))*D105</f>
        <v>0</v>
      </c>
      <c r="J105" s="507"/>
      <c r="K105" s="507"/>
      <c r="L105" s="611" t="s">
        <v>515</v>
      </c>
      <c r="M105" s="507"/>
      <c r="N105" s="507"/>
      <c r="X105" s="161"/>
      <c r="Y105" s="161"/>
    </row>
    <row r="106" spans="1:25" hidden="1" x14ac:dyDescent="0.2">
      <c r="B106" s="592" t="s">
        <v>253</v>
      </c>
      <c r="C106" s="387"/>
      <c r="D106" s="578">
        <v>1.6</v>
      </c>
      <c r="E106" s="388">
        <f>(SUM(D18:E18))*$D$106</f>
        <v>0</v>
      </c>
      <c r="F106" s="388">
        <f t="shared" si="1"/>
        <v>0</v>
      </c>
      <c r="G106" s="388">
        <f t="shared" si="2"/>
        <v>0</v>
      </c>
      <c r="H106" s="388">
        <f t="shared" si="3"/>
        <v>0</v>
      </c>
      <c r="I106" s="388">
        <f t="shared" si="4"/>
        <v>0</v>
      </c>
      <c r="J106" s="507"/>
      <c r="K106" s="507"/>
      <c r="L106" s="610" t="s">
        <v>516</v>
      </c>
      <c r="M106" s="507"/>
      <c r="N106" s="507"/>
      <c r="X106" s="161"/>
      <c r="Y106" s="161"/>
    </row>
    <row r="107" spans="1:25" hidden="1" x14ac:dyDescent="0.2">
      <c r="B107" s="592" t="s">
        <v>258</v>
      </c>
      <c r="C107" s="387"/>
      <c r="D107" s="578">
        <v>1.2</v>
      </c>
      <c r="E107" s="388">
        <f>(SUM(D19:E19))*$D$107</f>
        <v>0</v>
      </c>
      <c r="F107" s="388">
        <f t="shared" si="1"/>
        <v>0</v>
      </c>
      <c r="G107" s="388">
        <f t="shared" si="2"/>
        <v>0</v>
      </c>
      <c r="H107" s="388">
        <f t="shared" si="3"/>
        <v>0</v>
      </c>
      <c r="I107" s="388">
        <f t="shared" si="4"/>
        <v>0</v>
      </c>
      <c r="J107" s="507"/>
      <c r="K107" s="507"/>
      <c r="L107" s="610"/>
      <c r="M107" s="507"/>
      <c r="N107" s="507"/>
      <c r="X107" s="161"/>
      <c r="Y107" s="161"/>
    </row>
    <row r="108" spans="1:25" hidden="1" x14ac:dyDescent="0.2">
      <c r="B108" s="592" t="s">
        <v>254</v>
      </c>
      <c r="C108" s="387"/>
      <c r="D108" s="578">
        <v>0.8</v>
      </c>
      <c r="E108" s="388">
        <f>(SUM(D20:E20))*$D$108</f>
        <v>0</v>
      </c>
      <c r="F108" s="388">
        <f t="shared" si="1"/>
        <v>0</v>
      </c>
      <c r="G108" s="388">
        <f t="shared" si="2"/>
        <v>0</v>
      </c>
      <c r="H108" s="388">
        <f t="shared" si="3"/>
        <v>0</v>
      </c>
      <c r="I108" s="388">
        <f t="shared" si="4"/>
        <v>0</v>
      </c>
      <c r="J108" s="507"/>
      <c r="K108" s="507"/>
      <c r="L108" s="523"/>
      <c r="M108" s="507"/>
      <c r="N108" s="507"/>
      <c r="X108" s="161"/>
      <c r="Y108" s="161"/>
    </row>
    <row r="109" spans="1:25" hidden="1" x14ac:dyDescent="0.2">
      <c r="B109" s="592" t="s">
        <v>255</v>
      </c>
      <c r="C109" s="387"/>
      <c r="D109" s="389">
        <v>1</v>
      </c>
      <c r="E109" s="388">
        <f>(SUM(D21:E21))*$D$109</f>
        <v>0</v>
      </c>
      <c r="F109" s="388">
        <f t="shared" si="1"/>
        <v>0</v>
      </c>
      <c r="G109" s="388">
        <f t="shared" si="2"/>
        <v>0</v>
      </c>
      <c r="H109" s="388">
        <f t="shared" si="3"/>
        <v>0</v>
      </c>
      <c r="I109" s="388">
        <f t="shared" si="4"/>
        <v>0</v>
      </c>
      <c r="J109" s="507"/>
      <c r="K109" s="507"/>
      <c r="L109" s="523"/>
      <c r="M109" s="507"/>
      <c r="N109" s="507"/>
      <c r="X109" s="161"/>
      <c r="Y109" s="161"/>
    </row>
    <row r="110" spans="1:25" hidden="1" x14ac:dyDescent="0.2">
      <c r="B110" s="592" t="s">
        <v>256</v>
      </c>
      <c r="C110" s="387"/>
      <c r="D110" s="578">
        <v>0.8</v>
      </c>
      <c r="E110" s="388">
        <f>(SUM(D22:E22))*$D$110</f>
        <v>0</v>
      </c>
      <c r="F110" s="388">
        <f t="shared" si="1"/>
        <v>0</v>
      </c>
      <c r="G110" s="388">
        <f t="shared" si="2"/>
        <v>0</v>
      </c>
      <c r="H110" s="388">
        <f t="shared" si="3"/>
        <v>0</v>
      </c>
      <c r="I110" s="388">
        <f t="shared" si="4"/>
        <v>0</v>
      </c>
      <c r="J110" s="507"/>
      <c r="K110" s="507"/>
      <c r="L110" s="523"/>
      <c r="M110" s="507"/>
      <c r="N110" s="507"/>
      <c r="X110" s="161"/>
      <c r="Y110" s="161"/>
    </row>
    <row r="111" spans="1:25" hidden="1" x14ac:dyDescent="0.2">
      <c r="B111" s="592" t="s">
        <v>257</v>
      </c>
      <c r="C111" s="387"/>
      <c r="D111" s="578">
        <v>0.6</v>
      </c>
      <c r="E111" s="388">
        <f>(SUM(D23:E23))*$D$111</f>
        <v>0</v>
      </c>
      <c r="F111" s="388">
        <f t="shared" si="1"/>
        <v>0</v>
      </c>
      <c r="G111" s="388">
        <f t="shared" si="2"/>
        <v>0</v>
      </c>
      <c r="H111" s="388">
        <f t="shared" si="3"/>
        <v>0</v>
      </c>
      <c r="I111" s="388">
        <f t="shared" si="4"/>
        <v>0</v>
      </c>
      <c r="J111" s="507"/>
      <c r="K111" s="507"/>
      <c r="L111" s="523"/>
      <c r="M111" s="507"/>
      <c r="N111" s="507"/>
      <c r="X111" s="161"/>
      <c r="Y111" s="161"/>
    </row>
    <row r="112" spans="1:25" hidden="1" x14ac:dyDescent="0.2">
      <c r="B112" s="592" t="s">
        <v>245</v>
      </c>
      <c r="C112" s="387"/>
      <c r="D112" s="578">
        <v>0.6</v>
      </c>
      <c r="E112" s="388">
        <f>(SUM(D24:E24))*$D$112</f>
        <v>0</v>
      </c>
      <c r="F112" s="388">
        <f t="shared" si="1"/>
        <v>0</v>
      </c>
      <c r="G112" s="388">
        <f t="shared" si="2"/>
        <v>0</v>
      </c>
      <c r="H112" s="388">
        <f t="shared" si="3"/>
        <v>0</v>
      </c>
      <c r="I112" s="388">
        <f t="shared" si="4"/>
        <v>0</v>
      </c>
      <c r="J112" s="507"/>
      <c r="K112" s="507"/>
      <c r="L112" s="523"/>
      <c r="M112" s="507"/>
      <c r="N112" s="507"/>
      <c r="X112" s="161"/>
      <c r="Y112" s="161"/>
    </row>
    <row r="113" spans="2:25" ht="15.75" hidden="1" thickBot="1" x14ac:dyDescent="0.25">
      <c r="B113" s="592" t="s">
        <v>44</v>
      </c>
      <c r="C113" s="387"/>
      <c r="D113" s="578">
        <v>21.2</v>
      </c>
      <c r="E113" s="388">
        <f>SUM(D25:E25)*$D$113</f>
        <v>0</v>
      </c>
      <c r="F113" s="388">
        <f>SUM(F25:G25)*D113</f>
        <v>0</v>
      </c>
      <c r="G113" s="388">
        <f>SUM(H25:I25)*D113</f>
        <v>0</v>
      </c>
      <c r="H113" s="388">
        <f>SUM(J25:K25)*D113</f>
        <v>0</v>
      </c>
      <c r="I113" s="388">
        <f>SUM(L25:M25)*D113</f>
        <v>0</v>
      </c>
      <c r="J113" s="507"/>
      <c r="K113" s="507"/>
      <c r="L113" s="523"/>
      <c r="M113" s="507"/>
      <c r="N113" s="507"/>
      <c r="X113" s="161"/>
      <c r="Y113" s="161"/>
    </row>
    <row r="114" spans="2:25" ht="15.75" hidden="1" thickBot="1" x14ac:dyDescent="0.25">
      <c r="B114" s="507"/>
      <c r="C114" s="507"/>
      <c r="D114" s="390" t="s">
        <v>283</v>
      </c>
      <c r="E114" s="558">
        <f>SUM(E105:E113)</f>
        <v>0</v>
      </c>
      <c r="F114" s="558">
        <f t="shared" ref="F114:I114" si="5">SUM(F105:F113)</f>
        <v>0</v>
      </c>
      <c r="G114" s="558">
        <f t="shared" si="5"/>
        <v>0</v>
      </c>
      <c r="H114" s="558">
        <f t="shared" si="5"/>
        <v>0</v>
      </c>
      <c r="I114" s="558">
        <f t="shared" si="5"/>
        <v>0</v>
      </c>
      <c r="J114" s="507"/>
      <c r="K114" s="507"/>
      <c r="L114" s="523"/>
      <c r="M114" s="507"/>
      <c r="N114" s="507"/>
      <c r="X114" s="161"/>
      <c r="Y114" s="161"/>
    </row>
    <row r="115" spans="2:25" hidden="1" x14ac:dyDescent="0.2">
      <c r="B115" s="507"/>
      <c r="C115" s="507"/>
      <c r="D115" s="507"/>
      <c r="E115" s="507"/>
      <c r="F115" s="507"/>
      <c r="G115" s="507"/>
      <c r="H115" s="507"/>
      <c r="I115" s="507"/>
      <c r="J115" s="507"/>
      <c r="K115" s="573"/>
      <c r="L115" s="507"/>
      <c r="M115" s="507"/>
      <c r="N115" s="523"/>
    </row>
    <row r="116" spans="2:25" hidden="1" x14ac:dyDescent="0.2">
      <c r="B116" s="507"/>
      <c r="C116" s="507"/>
      <c r="D116" s="507"/>
      <c r="E116" s="507"/>
      <c r="F116" s="507"/>
      <c r="G116" s="507"/>
      <c r="H116" s="507"/>
      <c r="I116" s="507"/>
      <c r="J116" s="507"/>
      <c r="K116" s="573"/>
      <c r="L116" s="507"/>
      <c r="M116" s="507"/>
      <c r="N116" s="507"/>
    </row>
    <row r="117" spans="2:25" hidden="1" x14ac:dyDescent="0.2">
      <c r="B117" s="507"/>
      <c r="C117" s="507"/>
      <c r="D117" s="507"/>
      <c r="E117" s="507"/>
      <c r="F117" s="507"/>
      <c r="G117" s="507"/>
      <c r="H117" s="507"/>
      <c r="I117" s="507"/>
      <c r="J117" s="507"/>
      <c r="K117" s="573"/>
      <c r="L117" s="507"/>
      <c r="M117" s="507"/>
      <c r="N117" s="507"/>
    </row>
    <row r="118" spans="2:25" hidden="1" x14ac:dyDescent="0.2">
      <c r="B118" s="507"/>
      <c r="C118" s="507"/>
      <c r="D118" s="507"/>
      <c r="E118" s="507"/>
      <c r="F118" s="507"/>
      <c r="G118" s="1096" t="s">
        <v>418</v>
      </c>
      <c r="H118" s="1096"/>
      <c r="I118" s="1096"/>
      <c r="J118" s="1096"/>
      <c r="K118" s="1096"/>
      <c r="L118" s="1096"/>
      <c r="M118" s="1096"/>
    </row>
    <row r="119" spans="2:25" ht="15.75" hidden="1" thickBot="1" x14ac:dyDescent="0.25">
      <c r="B119" s="507"/>
      <c r="C119" s="507"/>
      <c r="D119" s="507"/>
      <c r="E119" s="507"/>
      <c r="F119" s="507"/>
      <c r="G119" s="1096"/>
      <c r="H119" s="1096"/>
      <c r="I119" s="1096"/>
      <c r="J119" s="1096"/>
      <c r="K119" s="1096"/>
      <c r="L119" s="1096"/>
      <c r="M119" s="1096"/>
    </row>
    <row r="120" spans="2:25" ht="48" hidden="1" x14ac:dyDescent="0.2">
      <c r="B120" s="605" t="s">
        <v>215</v>
      </c>
      <c r="C120" s="606"/>
      <c r="D120" s="606"/>
      <c r="E120" s="607"/>
      <c r="F120" s="507"/>
      <c r="G120" s="586" t="s">
        <v>323</v>
      </c>
      <c r="H120" s="392" t="s">
        <v>419</v>
      </c>
      <c r="I120" s="288" t="s">
        <v>175</v>
      </c>
      <c r="J120" s="392" t="s">
        <v>420</v>
      </c>
      <c r="K120" s="288" t="s">
        <v>175</v>
      </c>
      <c r="L120" s="392" t="s">
        <v>421</v>
      </c>
      <c r="M120" s="288" t="s">
        <v>175</v>
      </c>
    </row>
    <row r="121" spans="2:25" hidden="1" x14ac:dyDescent="0.2">
      <c r="B121" s="599" t="s">
        <v>207</v>
      </c>
      <c r="C121" s="586" t="s">
        <v>217</v>
      </c>
      <c r="D121" s="898" t="s">
        <v>54</v>
      </c>
      <c r="E121" s="902"/>
      <c r="F121" s="507"/>
      <c r="G121" s="393">
        <f>(1000/I121)-10</f>
        <v>16.315789473684209</v>
      </c>
      <c r="H121" s="394">
        <f>('SITE DATA'!$F$26-(0.2*G121))^2/('SITE DATA'!$F$26+(0.8*G121))</f>
        <v>0.8157894736842104</v>
      </c>
      <c r="I121" s="395">
        <v>38</v>
      </c>
      <c r="J121" s="394">
        <f>('SITE DATA'!$F$27-(0.2*G121))^2/('SITE DATA'!$F$27+(0.8*G121))</f>
        <v>0.8157894736842104</v>
      </c>
      <c r="K121" s="395">
        <v>38</v>
      </c>
      <c r="L121" s="394">
        <f>('SITE DATA'!$F$28-(0.2*G121))^2/('SITE DATA'!$F$28+(0.8*G121))</f>
        <v>0.8157894736842104</v>
      </c>
      <c r="M121" s="395">
        <v>38</v>
      </c>
    </row>
    <row r="122" spans="2:25" hidden="1" x14ac:dyDescent="0.2">
      <c r="B122" s="600" t="s">
        <v>521</v>
      </c>
      <c r="C122" s="598">
        <v>0.35</v>
      </c>
      <c r="D122" s="1094">
        <v>0.85</v>
      </c>
      <c r="E122" s="1095"/>
      <c r="F122" s="507"/>
      <c r="G122" s="393">
        <f>(1000/I122)-10</f>
        <v>15.641025641025642</v>
      </c>
      <c r="H122" s="394">
        <f>('SITE DATA'!$F$26-(0.2*G122))^2/('SITE DATA'!$F$26+(0.8*G122))</f>
        <v>0.78205128205128227</v>
      </c>
      <c r="I122" s="395">
        <v>39</v>
      </c>
      <c r="J122" s="394">
        <f>('SITE DATA'!$F$27-(0.2*G122))^2/('SITE DATA'!$F$27+(0.8*G122))</f>
        <v>0.78205128205128227</v>
      </c>
      <c r="K122" s="395">
        <v>39</v>
      </c>
      <c r="L122" s="394">
        <f>('SITE DATA'!$F$28-(0.2*G122))^2/('SITE DATA'!$F$28+(0.8*G122))</f>
        <v>0.78205128205128227</v>
      </c>
      <c r="M122" s="395">
        <v>39</v>
      </c>
    </row>
    <row r="123" spans="2:25" hidden="1" x14ac:dyDescent="0.2">
      <c r="B123" s="600" t="s">
        <v>520</v>
      </c>
      <c r="C123" s="598">
        <v>0.4</v>
      </c>
      <c r="D123" s="1094">
        <v>0.85</v>
      </c>
      <c r="E123" s="1095"/>
      <c r="F123" s="507"/>
      <c r="G123" s="393">
        <f>(1000/I123)-10</f>
        <v>15</v>
      </c>
      <c r="H123" s="394">
        <f>('SITE DATA'!$F$26-(0.2*G123))^2/('SITE DATA'!$F$26+(0.8*G123))</f>
        <v>0.75</v>
      </c>
      <c r="I123" s="395">
        <v>40</v>
      </c>
      <c r="J123" s="394">
        <f>('SITE DATA'!$F$27-(0.2*G123))^2/('SITE DATA'!$F$27+(0.8*G123))</f>
        <v>0.75</v>
      </c>
      <c r="K123" s="395">
        <v>40</v>
      </c>
      <c r="L123" s="394">
        <f>('SITE DATA'!$F$28-(0.2*G123))^2/('SITE DATA'!$F$28+(0.8*G123))</f>
        <v>0.75</v>
      </c>
      <c r="M123" s="395">
        <v>40</v>
      </c>
    </row>
    <row r="124" spans="2:25" hidden="1" x14ac:dyDescent="0.2">
      <c r="B124" s="601" t="s">
        <v>208</v>
      </c>
      <c r="C124" s="598">
        <v>0.4</v>
      </c>
      <c r="D124" s="1094">
        <v>0.85</v>
      </c>
      <c r="E124" s="1095"/>
      <c r="F124" s="507"/>
      <c r="G124" s="393">
        <f>(1000/I124)-10</f>
        <v>14.390243902439025</v>
      </c>
      <c r="H124" s="394">
        <f>('SITE DATA'!$F$26-(0.2*G124))^2/('SITE DATA'!$F$26+(0.8*G124))</f>
        <v>0.71951219512195141</v>
      </c>
      <c r="I124" s="395">
        <v>41</v>
      </c>
      <c r="J124" s="394">
        <f>('SITE DATA'!$F$27-(0.2*G124))^2/('SITE DATA'!$F$27+(0.8*G124))</f>
        <v>0.71951219512195141</v>
      </c>
      <c r="K124" s="395">
        <v>41</v>
      </c>
      <c r="L124" s="394">
        <f>('SITE DATA'!$F$28-(0.2*G124))^2/('SITE DATA'!$F$28+(0.8*G124))</f>
        <v>0.71951219512195141</v>
      </c>
      <c r="M124" s="395">
        <v>41</v>
      </c>
    </row>
    <row r="125" spans="2:25" hidden="1" x14ac:dyDescent="0.2">
      <c r="B125" s="601" t="s">
        <v>51</v>
      </c>
      <c r="C125" s="598">
        <v>0.25</v>
      </c>
      <c r="D125" s="1094">
        <v>0.85</v>
      </c>
      <c r="E125" s="1095"/>
      <c r="F125" s="507"/>
      <c r="G125" s="393">
        <f>(1000/I125)-10</f>
        <v>13.80952380952381</v>
      </c>
      <c r="H125" s="394">
        <f>('SITE DATA'!$F$26-(0.2*G125))^2/('SITE DATA'!$F$26+(0.8*G125))</f>
        <v>0.69047619047619058</v>
      </c>
      <c r="I125" s="395">
        <v>42</v>
      </c>
      <c r="J125" s="394">
        <f>('SITE DATA'!$F$27-(0.2*G125))^2/('SITE DATA'!$F$27+(0.8*G125))</f>
        <v>0.69047619047619058</v>
      </c>
      <c r="K125" s="395">
        <v>42</v>
      </c>
      <c r="L125" s="394">
        <f>('SITE DATA'!$F$28-(0.2*G125))^2/('SITE DATA'!$F$28+(0.8*G125))</f>
        <v>0.69047619047619058</v>
      </c>
      <c r="M125" s="395">
        <v>42</v>
      </c>
    </row>
    <row r="126" spans="2:25" hidden="1" x14ac:dyDescent="0.2">
      <c r="B126" s="601" t="s">
        <v>209</v>
      </c>
      <c r="C126" s="598">
        <v>0.35</v>
      </c>
      <c r="D126" s="1094">
        <v>0.85</v>
      </c>
      <c r="E126" s="1095"/>
      <c r="F126" s="507"/>
      <c r="G126" s="393">
        <f t="shared" ref="G126:G181" si="6">(1000/I126)-10</f>
        <v>13.255813953488371</v>
      </c>
      <c r="H126" s="394">
        <f>('SITE DATA'!$F$26-(0.2*G126))^2/('SITE DATA'!$F$26+(0.8*G126))</f>
        <v>0.66279069767441856</v>
      </c>
      <c r="I126" s="395">
        <v>43</v>
      </c>
      <c r="J126" s="394">
        <f>('SITE DATA'!$F$27-(0.2*G126))^2/('SITE DATA'!$F$27+(0.8*G126))</f>
        <v>0.66279069767441856</v>
      </c>
      <c r="K126" s="395">
        <v>43</v>
      </c>
      <c r="L126" s="394">
        <f>('SITE DATA'!$F$28-(0.2*G126))^2/('SITE DATA'!$F$28+(0.8*G126))</f>
        <v>0.66279069767441856</v>
      </c>
      <c r="M126" s="395">
        <v>43</v>
      </c>
    </row>
    <row r="127" spans="2:25" hidden="1" x14ac:dyDescent="0.2">
      <c r="B127" s="601" t="s">
        <v>210</v>
      </c>
      <c r="C127" s="598">
        <v>0.2</v>
      </c>
      <c r="D127" s="1094">
        <v>0.35</v>
      </c>
      <c r="E127" s="1095"/>
      <c r="F127" s="507"/>
      <c r="G127" s="393">
        <f t="shared" si="6"/>
        <v>12.727272727272727</v>
      </c>
      <c r="H127" s="394">
        <f>('SITE DATA'!$F$26-(0.2*G127))^2/('SITE DATA'!$F$26+(0.8*G127))</f>
        <v>0.63636363636363635</v>
      </c>
      <c r="I127" s="395">
        <v>44</v>
      </c>
      <c r="J127" s="394">
        <f>('SITE DATA'!$F$27-(0.2*G127))^2/('SITE DATA'!$F$27+(0.8*G127))</f>
        <v>0.63636363636363635</v>
      </c>
      <c r="K127" s="395">
        <v>44</v>
      </c>
      <c r="L127" s="394">
        <f>('SITE DATA'!$F$28-(0.2*G127))^2/('SITE DATA'!$F$28+(0.8*G127))</f>
        <v>0.63636363636363635</v>
      </c>
      <c r="M127" s="395">
        <v>44</v>
      </c>
    </row>
    <row r="128" spans="2:25" hidden="1" x14ac:dyDescent="0.2">
      <c r="B128" s="601" t="s">
        <v>52</v>
      </c>
      <c r="C128" s="598">
        <v>0.2</v>
      </c>
      <c r="D128" s="1094">
        <v>0.35</v>
      </c>
      <c r="E128" s="1095"/>
      <c r="F128" s="507"/>
      <c r="G128" s="393">
        <f t="shared" si="6"/>
        <v>12.222222222222221</v>
      </c>
      <c r="H128" s="394">
        <f>('SITE DATA'!$F$26-(0.2*G128))^2/('SITE DATA'!$F$26+(0.8*G128))</f>
        <v>0.61111111111111116</v>
      </c>
      <c r="I128" s="395">
        <v>45</v>
      </c>
      <c r="J128" s="394">
        <f>('SITE DATA'!$F$27-(0.2*G128))^2/('SITE DATA'!$F$27+(0.8*G128))</f>
        <v>0.61111111111111116</v>
      </c>
      <c r="K128" s="395">
        <v>45</v>
      </c>
      <c r="L128" s="394">
        <f>('SITE DATA'!$F$28-(0.2*G128))^2/('SITE DATA'!$F$28+(0.8*G128))</f>
        <v>0.61111111111111116</v>
      </c>
      <c r="M128" s="395">
        <v>45</v>
      </c>
    </row>
    <row r="129" spans="2:13" hidden="1" x14ac:dyDescent="0.2">
      <c r="B129" s="601" t="s">
        <v>211</v>
      </c>
      <c r="C129" s="598">
        <v>0.3</v>
      </c>
      <c r="D129" s="1094">
        <v>0.6</v>
      </c>
      <c r="E129" s="1095"/>
      <c r="F129" s="507"/>
      <c r="G129" s="393">
        <f t="shared" si="6"/>
        <v>11.739130434782609</v>
      </c>
      <c r="H129" s="394">
        <f>('SITE DATA'!$F$26-(0.2*G129))^2/('SITE DATA'!$F$26+(0.8*G129))</f>
        <v>0.58695652173913049</v>
      </c>
      <c r="I129" s="395">
        <v>46</v>
      </c>
      <c r="J129" s="394">
        <f>('SITE DATA'!$F$27-(0.2*G129))^2/('SITE DATA'!$F$27+(0.8*G129))</f>
        <v>0.58695652173913049</v>
      </c>
      <c r="K129" s="395">
        <v>46</v>
      </c>
      <c r="L129" s="394">
        <f>('SITE DATA'!$F$28-(0.2*G129))^2/('SITE DATA'!$F$28+(0.8*G129))</f>
        <v>0.58695652173913049</v>
      </c>
      <c r="M129" s="395">
        <v>46</v>
      </c>
    </row>
    <row r="130" spans="2:13" hidden="1" x14ac:dyDescent="0.2">
      <c r="B130" s="601" t="s">
        <v>212</v>
      </c>
      <c r="C130" s="598">
        <v>0.3</v>
      </c>
      <c r="D130" s="1094">
        <v>0.85</v>
      </c>
      <c r="E130" s="1095"/>
      <c r="F130" s="507"/>
      <c r="G130" s="393">
        <f t="shared" si="6"/>
        <v>11.276595744680851</v>
      </c>
      <c r="H130" s="394">
        <f>('SITE DATA'!$F$26-(0.2*G130))^2/('SITE DATA'!$F$26+(0.8*G130))</f>
        <v>0.56382978723404253</v>
      </c>
      <c r="I130" s="395">
        <v>47</v>
      </c>
      <c r="J130" s="394">
        <f>('SITE DATA'!$F$27-(0.2*G130))^2/('SITE DATA'!$F$27+(0.8*G130))</f>
        <v>0.56382978723404253</v>
      </c>
      <c r="K130" s="395">
        <v>47</v>
      </c>
      <c r="L130" s="394">
        <f>('SITE DATA'!$F$28-(0.2*G130))^2/('SITE DATA'!$F$28+(0.8*G130))</f>
        <v>0.56382978723404253</v>
      </c>
      <c r="M130" s="395">
        <v>47</v>
      </c>
    </row>
    <row r="131" spans="2:13" hidden="1" x14ac:dyDescent="0.2">
      <c r="B131" s="601" t="s">
        <v>213</v>
      </c>
      <c r="C131" s="598">
        <v>0.1</v>
      </c>
      <c r="D131" s="1094">
        <v>0.5</v>
      </c>
      <c r="E131" s="1095"/>
      <c r="F131" s="507"/>
      <c r="G131" s="393">
        <f t="shared" si="6"/>
        <v>10.833333333333332</v>
      </c>
      <c r="H131" s="394">
        <f>('SITE DATA'!$F$26-(0.2*G131))^2/('SITE DATA'!$F$26+(0.8*G131))</f>
        <v>0.54166666666666663</v>
      </c>
      <c r="I131" s="395">
        <f>48</f>
        <v>48</v>
      </c>
      <c r="J131" s="394">
        <f>('SITE DATA'!$F$27-(0.2*G131))^2/('SITE DATA'!$F$27+(0.8*G131))</f>
        <v>0.54166666666666663</v>
      </c>
      <c r="K131" s="395">
        <f>48</f>
        <v>48</v>
      </c>
      <c r="L131" s="394">
        <f>('SITE DATA'!$F$28-(0.2*G131))^2/('SITE DATA'!$F$28+(0.8*G131))</f>
        <v>0.54166666666666663</v>
      </c>
      <c r="M131" s="395">
        <f>48</f>
        <v>48</v>
      </c>
    </row>
    <row r="132" spans="2:13" hidden="1" x14ac:dyDescent="0.2">
      <c r="B132" s="601" t="s">
        <v>53</v>
      </c>
      <c r="C132" s="598">
        <v>0</v>
      </c>
      <c r="D132" s="1094">
        <v>0</v>
      </c>
      <c r="E132" s="1095"/>
      <c r="F132" s="507"/>
      <c r="G132" s="393">
        <f t="shared" si="6"/>
        <v>10.408163265306122</v>
      </c>
      <c r="H132" s="394">
        <f>('SITE DATA'!$F$26-(0.2*G132))^2/('SITE DATA'!$F$26+(0.8*G132))</f>
        <v>0.52040816326530615</v>
      </c>
      <c r="I132" s="395">
        <f t="shared" ref="I132:I181" si="7">I131+1</f>
        <v>49</v>
      </c>
      <c r="J132" s="394">
        <f>('SITE DATA'!$F$27-(0.2*G132))^2/('SITE DATA'!$F$27+(0.8*G132))</f>
        <v>0.52040816326530615</v>
      </c>
      <c r="K132" s="395">
        <f t="shared" ref="K132:K181" si="8">K131+1</f>
        <v>49</v>
      </c>
      <c r="L132" s="394">
        <f>('SITE DATA'!$F$28-(0.2*G132))^2/('SITE DATA'!$F$28+(0.8*G132))</f>
        <v>0.52040816326530615</v>
      </c>
      <c r="M132" s="395">
        <f t="shared" ref="M132:M181" si="9">M131+1</f>
        <v>49</v>
      </c>
    </row>
    <row r="133" spans="2:13" hidden="1" x14ac:dyDescent="0.2">
      <c r="B133" s="601" t="s">
        <v>579</v>
      </c>
      <c r="C133" s="598">
        <v>0</v>
      </c>
      <c r="D133" s="1094">
        <v>0</v>
      </c>
      <c r="E133" s="1095"/>
      <c r="F133" s="507"/>
      <c r="G133" s="393">
        <f>(1000/I133)-10</f>
        <v>10</v>
      </c>
      <c r="H133" s="394">
        <f>('SITE DATA'!$F$26-(0.2*G133))^2/('SITE DATA'!$F$26+(0.8*G133))</f>
        <v>0.5</v>
      </c>
      <c r="I133" s="395">
        <f t="shared" si="7"/>
        <v>50</v>
      </c>
      <c r="J133" s="394">
        <f>('SITE DATA'!$F$27-(0.2*G133))^2/('SITE DATA'!$F$27+(0.8*G133))</f>
        <v>0.5</v>
      </c>
      <c r="K133" s="395">
        <f t="shared" si="8"/>
        <v>50</v>
      </c>
      <c r="L133" s="394">
        <f>('SITE DATA'!$F$28-(0.2*G133))^2/('SITE DATA'!$F$28+(0.8*G133))</f>
        <v>0.5</v>
      </c>
      <c r="M133" s="395">
        <f t="shared" si="9"/>
        <v>50</v>
      </c>
    </row>
    <row r="134" spans="2:13" ht="15.75" hidden="1" thickBot="1" x14ac:dyDescent="0.25">
      <c r="B134" s="602" t="s">
        <v>564</v>
      </c>
      <c r="C134" s="604">
        <f>IF(C13="Yes",G13,F134)</f>
        <v>1</v>
      </c>
      <c r="D134" s="1036" t="s">
        <v>563</v>
      </c>
      <c r="E134" s="1037"/>
      <c r="F134" s="616">
        <v>1</v>
      </c>
      <c r="G134" s="393">
        <f t="shared" si="6"/>
        <v>9.6078431372549034</v>
      </c>
      <c r="H134" s="394">
        <f>('SITE DATA'!$F$26-(0.2*G134))^2/('SITE DATA'!$F$26+(0.8*G134))</f>
        <v>0.48039215686274517</v>
      </c>
      <c r="I134" s="395">
        <f t="shared" si="7"/>
        <v>51</v>
      </c>
      <c r="J134" s="394">
        <f>('SITE DATA'!$F$27-(0.2*G134))^2/('SITE DATA'!$F$27+(0.8*G134))</f>
        <v>0.48039215686274517</v>
      </c>
      <c r="K134" s="395">
        <f t="shared" si="8"/>
        <v>51</v>
      </c>
      <c r="L134" s="394">
        <f>('SITE DATA'!$F$28-(0.2*G134))^2/('SITE DATA'!$F$28+(0.8*G134))</f>
        <v>0.48039215686274517</v>
      </c>
      <c r="M134" s="395">
        <f t="shared" si="9"/>
        <v>51</v>
      </c>
    </row>
    <row r="135" spans="2:13" hidden="1" x14ac:dyDescent="0.2">
      <c r="B135" s="514"/>
      <c r="C135" s="514"/>
      <c r="D135" s="507"/>
      <c r="E135" s="507"/>
      <c r="F135" s="507"/>
      <c r="G135" s="393">
        <f t="shared" si="6"/>
        <v>9.2307692307692299</v>
      </c>
      <c r="H135" s="394">
        <f>('SITE DATA'!$F$26-(0.2*G135))^2/('SITE DATA'!$F$26+(0.8*G135))</f>
        <v>0.46153846153846151</v>
      </c>
      <c r="I135" s="395">
        <f t="shared" si="7"/>
        <v>52</v>
      </c>
      <c r="J135" s="394">
        <f>('SITE DATA'!$F$27-(0.2*G135))^2/('SITE DATA'!$F$27+(0.8*G135))</f>
        <v>0.46153846153846151</v>
      </c>
      <c r="K135" s="395">
        <f t="shared" si="8"/>
        <v>52</v>
      </c>
      <c r="L135" s="394">
        <f>('SITE DATA'!$F$28-(0.2*G135))^2/('SITE DATA'!$F$28+(0.8*G135))</f>
        <v>0.46153846153846151</v>
      </c>
      <c r="M135" s="395">
        <f t="shared" si="9"/>
        <v>52</v>
      </c>
    </row>
    <row r="136" spans="2:13" hidden="1" x14ac:dyDescent="0.2">
      <c r="B136" s="514"/>
      <c r="C136" s="514"/>
      <c r="D136" s="507"/>
      <c r="E136" s="396"/>
      <c r="F136" s="507"/>
      <c r="G136" s="393">
        <f t="shared" si="6"/>
        <v>8.8679245283018879</v>
      </c>
      <c r="H136" s="394">
        <f>('SITE DATA'!$F$26-(0.2*G136))^2/('SITE DATA'!$F$26+(0.8*G136))</f>
        <v>0.44339622641509441</v>
      </c>
      <c r="I136" s="395">
        <f t="shared" si="7"/>
        <v>53</v>
      </c>
      <c r="J136" s="394">
        <f>('SITE DATA'!$F$27-(0.2*G136))^2/('SITE DATA'!$F$27+(0.8*G136))</f>
        <v>0.44339622641509441</v>
      </c>
      <c r="K136" s="395">
        <f t="shared" si="8"/>
        <v>53</v>
      </c>
      <c r="L136" s="394">
        <f>('SITE DATA'!$F$28-(0.2*G136))^2/('SITE DATA'!$F$28+(0.8*G136))</f>
        <v>0.44339622641509441</v>
      </c>
      <c r="M136" s="395">
        <f t="shared" si="9"/>
        <v>53</v>
      </c>
    </row>
    <row r="137" spans="2:13" hidden="1" x14ac:dyDescent="0.2">
      <c r="B137" s="507"/>
      <c r="C137" s="507"/>
      <c r="D137" s="507"/>
      <c r="E137" s="507"/>
      <c r="F137" s="507"/>
      <c r="G137" s="393">
        <f t="shared" si="6"/>
        <v>8.518518518518519</v>
      </c>
      <c r="H137" s="394">
        <f>('SITE DATA'!$F$26-(0.2*G137))^2/('SITE DATA'!$F$26+(0.8*G137))</f>
        <v>0.42592592592592599</v>
      </c>
      <c r="I137" s="395">
        <f t="shared" si="7"/>
        <v>54</v>
      </c>
      <c r="J137" s="394">
        <f>('SITE DATA'!$F$27-(0.2*G137))^2/('SITE DATA'!$F$27+(0.8*G137))</f>
        <v>0.42592592592592599</v>
      </c>
      <c r="K137" s="395">
        <f t="shared" si="8"/>
        <v>54</v>
      </c>
      <c r="L137" s="394">
        <f>('SITE DATA'!$F$28-(0.2*G137))^2/('SITE DATA'!$F$28+(0.8*G137))</f>
        <v>0.42592592592592599</v>
      </c>
      <c r="M137" s="395">
        <f t="shared" si="9"/>
        <v>54</v>
      </c>
    </row>
    <row r="138" spans="2:13" hidden="1" x14ac:dyDescent="0.2">
      <c r="B138" s="507"/>
      <c r="C138" s="507"/>
      <c r="D138" s="507"/>
      <c r="E138" s="507"/>
      <c r="F138" s="396"/>
      <c r="G138" s="393">
        <f t="shared" si="6"/>
        <v>8.1818181818181834</v>
      </c>
      <c r="H138" s="394">
        <f>('SITE DATA'!$F$26-(0.2*G138))^2/('SITE DATA'!$F$26+(0.8*G138))</f>
        <v>0.40909090909090912</v>
      </c>
      <c r="I138" s="395">
        <f t="shared" si="7"/>
        <v>55</v>
      </c>
      <c r="J138" s="394">
        <f>('SITE DATA'!$F$27-(0.2*G138))^2/('SITE DATA'!$F$27+(0.8*G138))</f>
        <v>0.40909090909090912</v>
      </c>
      <c r="K138" s="395">
        <f t="shared" si="8"/>
        <v>55</v>
      </c>
      <c r="L138" s="394">
        <f>('SITE DATA'!$F$28-(0.2*G138))^2/('SITE DATA'!$F$28+(0.8*G138))</f>
        <v>0.40909090909090912</v>
      </c>
      <c r="M138" s="395">
        <f t="shared" si="9"/>
        <v>55</v>
      </c>
    </row>
    <row r="139" spans="2:13" hidden="1" x14ac:dyDescent="0.2">
      <c r="B139" s="507"/>
      <c r="C139" s="507"/>
      <c r="D139" s="507"/>
      <c r="E139" s="507"/>
      <c r="F139" s="507"/>
      <c r="G139" s="393">
        <f t="shared" si="6"/>
        <v>7.8571428571428577</v>
      </c>
      <c r="H139" s="394">
        <f>('SITE DATA'!$F$26-(0.2*G139))^2/('SITE DATA'!$F$26+(0.8*G139))</f>
        <v>0.3928571428571429</v>
      </c>
      <c r="I139" s="395">
        <f t="shared" si="7"/>
        <v>56</v>
      </c>
      <c r="J139" s="394">
        <f>('SITE DATA'!$F$27-(0.2*G139))^2/('SITE DATA'!$F$27+(0.8*G139))</f>
        <v>0.3928571428571429</v>
      </c>
      <c r="K139" s="395">
        <f t="shared" si="8"/>
        <v>56</v>
      </c>
      <c r="L139" s="394">
        <f>('SITE DATA'!$F$28-(0.2*G139))^2/('SITE DATA'!$F$28+(0.8*G139))</f>
        <v>0.3928571428571429</v>
      </c>
      <c r="M139" s="395">
        <f t="shared" si="9"/>
        <v>56</v>
      </c>
    </row>
    <row r="140" spans="2:13" hidden="1" x14ac:dyDescent="0.2">
      <c r="B140" s="507"/>
      <c r="C140" s="507"/>
      <c r="D140" s="507"/>
      <c r="E140" s="507"/>
      <c r="F140" s="507"/>
      <c r="G140" s="393">
        <f t="shared" si="6"/>
        <v>7.5438596491228083</v>
      </c>
      <c r="H140" s="394">
        <f>('SITE DATA'!$F$26-(0.2*G140))^2/('SITE DATA'!$F$26+(0.8*G140))</f>
        <v>0.37719298245614041</v>
      </c>
      <c r="I140" s="395">
        <f t="shared" si="7"/>
        <v>57</v>
      </c>
      <c r="J140" s="394">
        <f>('SITE DATA'!$F$27-(0.2*G140))^2/('SITE DATA'!$F$27+(0.8*G140))</f>
        <v>0.37719298245614041</v>
      </c>
      <c r="K140" s="395">
        <f t="shared" si="8"/>
        <v>57</v>
      </c>
      <c r="L140" s="394">
        <f>('SITE DATA'!$F$28-(0.2*G140))^2/('SITE DATA'!$F$28+(0.8*G140))</f>
        <v>0.37719298245614041</v>
      </c>
      <c r="M140" s="395">
        <f t="shared" si="9"/>
        <v>57</v>
      </c>
    </row>
    <row r="141" spans="2:13" hidden="1" x14ac:dyDescent="0.2">
      <c r="B141" s="507"/>
      <c r="C141" s="507"/>
      <c r="D141" s="507"/>
      <c r="E141" s="507"/>
      <c r="F141" s="507"/>
      <c r="G141" s="393">
        <f t="shared" si="6"/>
        <v>7.2413793103448292</v>
      </c>
      <c r="H141" s="394">
        <f>('SITE DATA'!$F$26-(0.2*G141))^2/('SITE DATA'!$F$26+(0.8*G141))</f>
        <v>0.36206896551724144</v>
      </c>
      <c r="I141" s="395">
        <f t="shared" si="7"/>
        <v>58</v>
      </c>
      <c r="J141" s="394">
        <f>('SITE DATA'!$F$27-(0.2*G141))^2/('SITE DATA'!$F$27+(0.8*G141))</f>
        <v>0.36206896551724144</v>
      </c>
      <c r="K141" s="395">
        <f t="shared" si="8"/>
        <v>58</v>
      </c>
      <c r="L141" s="394">
        <f>('SITE DATA'!$F$28-(0.2*G141))^2/('SITE DATA'!$F$28+(0.8*G141))</f>
        <v>0.36206896551724144</v>
      </c>
      <c r="M141" s="395">
        <f t="shared" si="9"/>
        <v>58</v>
      </c>
    </row>
    <row r="142" spans="2:13" ht="15.75" hidden="1" thickBot="1" x14ac:dyDescent="0.25">
      <c r="B142" s="507"/>
      <c r="C142" s="507"/>
      <c r="D142" s="507"/>
      <c r="E142" s="507"/>
      <c r="F142" s="507"/>
      <c r="G142" s="393">
        <f t="shared" si="6"/>
        <v>6.9491525423728824</v>
      </c>
      <c r="H142" s="394">
        <f>('SITE DATA'!$F$26-(0.2*G142))^2/('SITE DATA'!$F$26+(0.8*G142))</f>
        <v>0.34745762711864414</v>
      </c>
      <c r="I142" s="395">
        <f t="shared" si="7"/>
        <v>59</v>
      </c>
      <c r="J142" s="394">
        <f>('SITE DATA'!$F$27-(0.2*G142))^2/('SITE DATA'!$F$27+(0.8*G142))</f>
        <v>0.34745762711864414</v>
      </c>
      <c r="K142" s="395">
        <f t="shared" si="8"/>
        <v>59</v>
      </c>
      <c r="L142" s="394">
        <f>('SITE DATA'!$F$28-(0.2*G142))^2/('SITE DATA'!$F$28+(0.8*G142))</f>
        <v>0.34745762711864414</v>
      </c>
      <c r="M142" s="395">
        <f t="shared" si="9"/>
        <v>59</v>
      </c>
    </row>
    <row r="143" spans="2:13" ht="16.5" hidden="1" thickBot="1" x14ac:dyDescent="0.3">
      <c r="B143" s="612" t="s">
        <v>532</v>
      </c>
      <c r="C143" s="543"/>
      <c r="D143" s="544"/>
      <c r="E143" s="507"/>
      <c r="F143" s="507"/>
      <c r="G143" s="393">
        <f t="shared" si="6"/>
        <v>6.6666666666666679</v>
      </c>
      <c r="H143" s="394">
        <f>('SITE DATA'!$F$26-(0.2*G143))^2/('SITE DATA'!$F$26+(0.8*G143))</f>
        <v>0.33333333333333343</v>
      </c>
      <c r="I143" s="395">
        <f t="shared" si="7"/>
        <v>60</v>
      </c>
      <c r="J143" s="394">
        <f>('SITE DATA'!$F$27-(0.2*G143))^2/('SITE DATA'!$F$27+(0.8*G143))</f>
        <v>0.33333333333333343</v>
      </c>
      <c r="K143" s="395">
        <f t="shared" si="8"/>
        <v>60</v>
      </c>
      <c r="L143" s="394">
        <f>('SITE DATA'!$F$28-(0.2*G143))^2/('SITE DATA'!$F$28+(0.8*G143))</f>
        <v>0.33333333333333343</v>
      </c>
      <c r="M143" s="395">
        <f t="shared" si="9"/>
        <v>60</v>
      </c>
    </row>
    <row r="144" spans="2:13" hidden="1" x14ac:dyDescent="0.2">
      <c r="B144" s="530"/>
      <c r="C144" s="512"/>
      <c r="D144" s="522"/>
      <c r="E144" s="507"/>
      <c r="F144" s="507"/>
      <c r="G144" s="393">
        <f t="shared" si="6"/>
        <v>6.3934426229508183</v>
      </c>
      <c r="H144" s="394">
        <f>('SITE DATA'!$F$26-(0.2*G144))^2/('SITE DATA'!$F$26+(0.8*G144))</f>
        <v>0.31967213114754095</v>
      </c>
      <c r="I144" s="395">
        <f t="shared" si="7"/>
        <v>61</v>
      </c>
      <c r="J144" s="394">
        <f>('SITE DATA'!$F$27-(0.2*G144))^2/('SITE DATA'!$F$27+(0.8*G144))</f>
        <v>0.31967213114754095</v>
      </c>
      <c r="K144" s="395">
        <f t="shared" si="8"/>
        <v>61</v>
      </c>
      <c r="L144" s="394">
        <f>('SITE DATA'!$F$28-(0.2*G144))^2/('SITE DATA'!$F$28+(0.8*G144))</f>
        <v>0.31967213114754095</v>
      </c>
      <c r="M144" s="395">
        <f t="shared" si="9"/>
        <v>61</v>
      </c>
    </row>
    <row r="145" spans="2:13" ht="19.5" hidden="1" x14ac:dyDescent="0.35">
      <c r="B145" s="509" t="s">
        <v>534</v>
      </c>
      <c r="C145" s="506"/>
      <c r="D145" s="513"/>
      <c r="E145" s="507"/>
      <c r="F145" s="507"/>
      <c r="G145" s="393">
        <f t="shared" si="6"/>
        <v>6.129032258064516</v>
      </c>
      <c r="H145" s="394">
        <f>('SITE DATA'!$F$26-(0.2*G145))^2/('SITE DATA'!$F$26+(0.8*G145))</f>
        <v>0.30645161290322581</v>
      </c>
      <c r="I145" s="395">
        <f t="shared" si="7"/>
        <v>62</v>
      </c>
      <c r="J145" s="394">
        <f>('SITE DATA'!$F$27-(0.2*G145))^2/('SITE DATA'!$F$27+(0.8*G145))</f>
        <v>0.30645161290322581</v>
      </c>
      <c r="K145" s="395">
        <f t="shared" si="8"/>
        <v>62</v>
      </c>
      <c r="L145" s="394">
        <f>('SITE DATA'!$F$28-(0.2*G145))^2/('SITE DATA'!$F$28+(0.8*G145))</f>
        <v>0.30645161290322581</v>
      </c>
      <c r="M145" s="395">
        <f t="shared" si="9"/>
        <v>62</v>
      </c>
    </row>
    <row r="146" spans="2:13" hidden="1" x14ac:dyDescent="0.2">
      <c r="B146" s="509" t="s">
        <v>535</v>
      </c>
      <c r="C146" s="506"/>
      <c r="D146" s="513"/>
      <c r="E146" s="507"/>
      <c r="F146" s="507"/>
      <c r="G146" s="393">
        <f t="shared" si="6"/>
        <v>5.8730158730158735</v>
      </c>
      <c r="H146" s="394">
        <f>('SITE DATA'!$F$26-(0.2*G146))^2/('SITE DATA'!$F$26+(0.8*G146))</f>
        <v>0.29365079365079366</v>
      </c>
      <c r="I146" s="395">
        <f t="shared" si="7"/>
        <v>63</v>
      </c>
      <c r="J146" s="394">
        <f>('SITE DATA'!$F$27-(0.2*G146))^2/('SITE DATA'!$F$27+(0.8*G146))</f>
        <v>0.29365079365079366</v>
      </c>
      <c r="K146" s="395">
        <f t="shared" si="8"/>
        <v>63</v>
      </c>
      <c r="L146" s="394">
        <f>('SITE DATA'!$F$28-(0.2*G146))^2/('SITE DATA'!$F$28+(0.8*G146))</f>
        <v>0.29365079365079366</v>
      </c>
      <c r="M146" s="395">
        <f t="shared" si="9"/>
        <v>63</v>
      </c>
    </row>
    <row r="147" spans="2:13" hidden="1" x14ac:dyDescent="0.2">
      <c r="B147" s="509" t="s">
        <v>539</v>
      </c>
      <c r="C147" s="506"/>
      <c r="D147" s="513"/>
      <c r="E147" s="507"/>
      <c r="F147" s="507"/>
      <c r="G147" s="393">
        <f t="shared" si="6"/>
        <v>5.625</v>
      </c>
      <c r="H147" s="394">
        <f>('SITE DATA'!$F$26-(0.2*G147))^2/('SITE DATA'!$F$26+(0.8*G147))</f>
        <v>0.28125</v>
      </c>
      <c r="I147" s="395">
        <f t="shared" si="7"/>
        <v>64</v>
      </c>
      <c r="J147" s="394">
        <f>('SITE DATA'!$F$27-(0.2*G147))^2/('SITE DATA'!$F$27+(0.8*G147))</f>
        <v>0.28125</v>
      </c>
      <c r="K147" s="395">
        <f t="shared" si="8"/>
        <v>64</v>
      </c>
      <c r="L147" s="394">
        <f>('SITE DATA'!$F$28-(0.2*G147))^2/('SITE DATA'!$F$28+(0.8*G147))</f>
        <v>0.28125</v>
      </c>
      <c r="M147" s="395">
        <f t="shared" si="9"/>
        <v>64</v>
      </c>
    </row>
    <row r="148" spans="2:13" ht="19.5" hidden="1" x14ac:dyDescent="0.35">
      <c r="B148" s="509" t="s">
        <v>541</v>
      </c>
      <c r="C148" s="506"/>
      <c r="D148" s="513"/>
      <c r="E148" s="507"/>
      <c r="F148" s="507"/>
      <c r="G148" s="393">
        <f t="shared" si="6"/>
        <v>5.384615384615385</v>
      </c>
      <c r="H148" s="394">
        <f>('SITE DATA'!$F$26-(0.2*G148))^2/('SITE DATA'!$F$26+(0.8*G148))</f>
        <v>0.26923076923076927</v>
      </c>
      <c r="I148" s="395">
        <f t="shared" si="7"/>
        <v>65</v>
      </c>
      <c r="J148" s="394">
        <f>('SITE DATA'!$F$27-(0.2*G148))^2/('SITE DATA'!$F$27+(0.8*G148))</f>
        <v>0.26923076923076927</v>
      </c>
      <c r="K148" s="395">
        <f t="shared" si="8"/>
        <v>65</v>
      </c>
      <c r="L148" s="394">
        <f>('SITE DATA'!$F$28-(0.2*G148))^2/('SITE DATA'!$F$28+(0.8*G148))</f>
        <v>0.26923076923076927</v>
      </c>
      <c r="M148" s="395">
        <f t="shared" si="9"/>
        <v>65</v>
      </c>
    </row>
    <row r="149" spans="2:13" hidden="1" x14ac:dyDescent="0.2">
      <c r="B149" s="538"/>
      <c r="C149" s="511" t="s">
        <v>543</v>
      </c>
      <c r="D149" s="613" t="e">
        <f>(SUM(D25:E25))/SUM(D17:M25)</f>
        <v>#DIV/0!</v>
      </c>
      <c r="E149" s="507"/>
      <c r="F149" s="507"/>
      <c r="G149" s="393">
        <f t="shared" si="6"/>
        <v>5.1515151515151523</v>
      </c>
      <c r="H149" s="394">
        <f>('SITE DATA'!$F$26-(0.2*G149))^2/('SITE DATA'!$F$26+(0.8*G149))</f>
        <v>0.25757575757575762</v>
      </c>
      <c r="I149" s="395">
        <f t="shared" si="7"/>
        <v>66</v>
      </c>
      <c r="J149" s="394">
        <f>('SITE DATA'!$F$27-(0.2*G149))^2/('SITE DATA'!$F$27+(0.8*G149))</f>
        <v>0.25757575757575762</v>
      </c>
      <c r="K149" s="395">
        <f t="shared" si="8"/>
        <v>66</v>
      </c>
      <c r="L149" s="394">
        <f>('SITE DATA'!$F$28-(0.2*G149))^2/('SITE DATA'!$F$28+(0.8*G149))</f>
        <v>0.25757575757575762</v>
      </c>
      <c r="M149" s="395">
        <f t="shared" si="9"/>
        <v>66</v>
      </c>
    </row>
    <row r="150" spans="2:13" ht="24" hidden="1" thickBot="1" x14ac:dyDescent="0.4">
      <c r="B150" s="540" t="s">
        <v>569</v>
      </c>
      <c r="C150" s="511" t="s">
        <v>547</v>
      </c>
      <c r="D150" s="539" t="e">
        <f>0.05+(0.9*D149)</f>
        <v>#DIV/0!</v>
      </c>
      <c r="E150" s="507" t="s">
        <v>726</v>
      </c>
      <c r="F150" s="507"/>
      <c r="G150" s="393">
        <f t="shared" si="6"/>
        <v>4.9253731343283587</v>
      </c>
      <c r="H150" s="394">
        <f>('SITE DATA'!$F$26-(0.2*G150))^2/('SITE DATA'!$F$26+(0.8*G150))</f>
        <v>0.24626865671641796</v>
      </c>
      <c r="I150" s="395">
        <f t="shared" si="7"/>
        <v>67</v>
      </c>
      <c r="J150" s="394">
        <f>('SITE DATA'!$F$27-(0.2*G150))^2/('SITE DATA'!$F$27+(0.8*G150))</f>
        <v>0.24626865671641796</v>
      </c>
      <c r="K150" s="395">
        <f t="shared" si="8"/>
        <v>67</v>
      </c>
      <c r="L150" s="394">
        <f>('SITE DATA'!$F$28-(0.2*G150))^2/('SITE DATA'!$F$28+(0.8*G150))</f>
        <v>0.24626865671641796</v>
      </c>
      <c r="M150" s="395">
        <f t="shared" si="9"/>
        <v>67</v>
      </c>
    </row>
    <row r="151" spans="2:13" ht="24" hidden="1" thickBot="1" x14ac:dyDescent="0.4">
      <c r="B151" s="540"/>
      <c r="C151" s="534" t="s">
        <v>549</v>
      </c>
      <c r="D151" s="535" t="e">
        <f>3630*1*D150*SUM(D17:E25)</f>
        <v>#DIV/0!</v>
      </c>
      <c r="E151" s="615" t="e">
        <f>D151</f>
        <v>#DIV/0!</v>
      </c>
      <c r="F151" s="507"/>
      <c r="G151" s="393">
        <f t="shared" si="6"/>
        <v>4.7058823529411757</v>
      </c>
      <c r="H151" s="394">
        <f>('SITE DATA'!$F$26-(0.2*G151))^2/('SITE DATA'!$F$26+(0.8*G151))</f>
        <v>0.23529411764705879</v>
      </c>
      <c r="I151" s="395">
        <f t="shared" si="7"/>
        <v>68</v>
      </c>
      <c r="J151" s="394">
        <f>('SITE DATA'!$F$27-(0.2*G151))^2/('SITE DATA'!$F$27+(0.8*G151))</f>
        <v>0.23529411764705879</v>
      </c>
      <c r="K151" s="395">
        <f t="shared" si="8"/>
        <v>68</v>
      </c>
      <c r="L151" s="394">
        <f>('SITE DATA'!$F$28-(0.2*G151))^2/('SITE DATA'!$F$28+(0.8*G151))</f>
        <v>0.23529411764705879</v>
      </c>
      <c r="M151" s="395">
        <f t="shared" si="9"/>
        <v>68</v>
      </c>
    </row>
    <row r="152" spans="2:13" ht="15.75" hidden="1" thickBot="1" x14ac:dyDescent="0.25">
      <c r="B152" s="541"/>
      <c r="C152" s="537"/>
      <c r="D152" s="531"/>
      <c r="E152" s="507"/>
      <c r="F152" s="507"/>
      <c r="G152" s="393">
        <f t="shared" si="6"/>
        <v>4.4927536231884062</v>
      </c>
      <c r="H152" s="394">
        <f>('SITE DATA'!$F$26-(0.2*G152))^2/('SITE DATA'!$F$26+(0.8*G152))</f>
        <v>0.22463768115942032</v>
      </c>
      <c r="I152" s="395">
        <f t="shared" si="7"/>
        <v>69</v>
      </c>
      <c r="J152" s="394">
        <f>('SITE DATA'!$F$27-(0.2*G152))^2/('SITE DATA'!$F$27+(0.8*G152))</f>
        <v>0.22463768115942032</v>
      </c>
      <c r="K152" s="395">
        <f t="shared" si="8"/>
        <v>69</v>
      </c>
      <c r="L152" s="394">
        <f>('SITE DATA'!$F$28-(0.2*G152))^2/('SITE DATA'!$F$28+(0.8*G152))</f>
        <v>0.22463768115942032</v>
      </c>
      <c r="M152" s="395">
        <f t="shared" si="9"/>
        <v>69</v>
      </c>
    </row>
    <row r="153" spans="2:13" hidden="1" x14ac:dyDescent="0.2">
      <c r="B153" s="538"/>
      <c r="C153" s="511" t="s">
        <v>543</v>
      </c>
      <c r="D153" s="613" t="e">
        <f>(SUM(F25:G25))/SUM(D17:M25)</f>
        <v>#DIV/0!</v>
      </c>
      <c r="E153" s="507"/>
      <c r="F153" s="507"/>
      <c r="G153" s="393">
        <f t="shared" si="6"/>
        <v>4.2857142857142865</v>
      </c>
      <c r="H153" s="394">
        <f>('SITE DATA'!$F$26-(0.2*G153))^2/('SITE DATA'!$F$26+(0.8*G153))</f>
        <v>0.21428571428571433</v>
      </c>
      <c r="I153" s="395">
        <f t="shared" si="7"/>
        <v>70</v>
      </c>
      <c r="J153" s="394">
        <f>('SITE DATA'!$F$27-(0.2*G153))^2/('SITE DATA'!$F$27+(0.8*G153))</f>
        <v>0.21428571428571433</v>
      </c>
      <c r="K153" s="395">
        <f t="shared" si="8"/>
        <v>70</v>
      </c>
      <c r="L153" s="394">
        <f>('SITE DATA'!$F$28-(0.2*G153))^2/('SITE DATA'!$F$28+(0.8*G153))</f>
        <v>0.21428571428571433</v>
      </c>
      <c r="M153" s="395">
        <f t="shared" si="9"/>
        <v>70</v>
      </c>
    </row>
    <row r="154" spans="2:13" ht="24" hidden="1" thickBot="1" x14ac:dyDescent="0.4">
      <c r="B154" s="540" t="s">
        <v>570</v>
      </c>
      <c r="C154" s="511" t="s">
        <v>547</v>
      </c>
      <c r="D154" s="539" t="e">
        <f>0.05+(0.9*D153)</f>
        <v>#DIV/0!</v>
      </c>
      <c r="E154" s="507"/>
      <c r="F154" s="507"/>
      <c r="G154" s="393">
        <f t="shared" si="6"/>
        <v>4.0845070422535219</v>
      </c>
      <c r="H154" s="394">
        <f>('SITE DATA'!$F$26-(0.2*G154))^2/('SITE DATA'!$F$26+(0.8*G154))</f>
        <v>0.20422535211267612</v>
      </c>
      <c r="I154" s="395">
        <f t="shared" si="7"/>
        <v>71</v>
      </c>
      <c r="J154" s="394">
        <f>('SITE DATA'!$F$27-(0.2*G154))^2/('SITE DATA'!$F$27+(0.8*G154))</f>
        <v>0.20422535211267612</v>
      </c>
      <c r="K154" s="395">
        <f t="shared" si="8"/>
        <v>71</v>
      </c>
      <c r="L154" s="394">
        <f>('SITE DATA'!$F$28-(0.2*G154))^2/('SITE DATA'!$F$28+(0.8*G154))</f>
        <v>0.20422535211267612</v>
      </c>
      <c r="M154" s="395">
        <f t="shared" si="9"/>
        <v>71</v>
      </c>
    </row>
    <row r="155" spans="2:13" ht="24" hidden="1" thickBot="1" x14ac:dyDescent="0.4">
      <c r="B155" s="540"/>
      <c r="C155" s="534" t="s">
        <v>549</v>
      </c>
      <c r="D155" s="535" t="e">
        <f>3630*1*D154*SUM(F17:G25)</f>
        <v>#DIV/0!</v>
      </c>
      <c r="E155" s="615" t="e">
        <f>D155</f>
        <v>#DIV/0!</v>
      </c>
      <c r="F155" s="507"/>
      <c r="G155" s="393">
        <f t="shared" si="6"/>
        <v>3.8888888888888893</v>
      </c>
      <c r="H155" s="394">
        <f>('SITE DATA'!$F$26-(0.2*G155))^2/('SITE DATA'!$F$26+(0.8*G155))</f>
        <v>0.1944444444444445</v>
      </c>
      <c r="I155" s="395">
        <f t="shared" si="7"/>
        <v>72</v>
      </c>
      <c r="J155" s="394">
        <f>('SITE DATA'!$F$27-(0.2*G155))^2/('SITE DATA'!$F$27+(0.8*G155))</f>
        <v>0.1944444444444445</v>
      </c>
      <c r="K155" s="395">
        <f t="shared" si="8"/>
        <v>72</v>
      </c>
      <c r="L155" s="394">
        <f>('SITE DATA'!$F$28-(0.2*G155))^2/('SITE DATA'!$F$28+(0.8*G155))</f>
        <v>0.1944444444444445</v>
      </c>
      <c r="M155" s="395">
        <f t="shared" si="9"/>
        <v>72</v>
      </c>
    </row>
    <row r="156" spans="2:13" ht="15.75" hidden="1" thickBot="1" x14ac:dyDescent="0.25">
      <c r="B156" s="541"/>
      <c r="C156" s="537"/>
      <c r="D156" s="531"/>
      <c r="E156" s="507"/>
      <c r="F156" s="507"/>
      <c r="G156" s="393">
        <f t="shared" si="6"/>
        <v>3.6986301369863011</v>
      </c>
      <c r="H156" s="394">
        <f>('SITE DATA'!$F$26-(0.2*G156))^2/('SITE DATA'!$F$26+(0.8*G156))</f>
        <v>0.18493150684931509</v>
      </c>
      <c r="I156" s="395">
        <f t="shared" si="7"/>
        <v>73</v>
      </c>
      <c r="J156" s="394">
        <f>('SITE DATA'!$F$27-(0.2*G156))^2/('SITE DATA'!$F$27+(0.8*G156))</f>
        <v>0.18493150684931509</v>
      </c>
      <c r="K156" s="395">
        <f t="shared" si="8"/>
        <v>73</v>
      </c>
      <c r="L156" s="394">
        <f>('SITE DATA'!$F$28-(0.2*G156))^2/('SITE DATA'!$F$28+(0.8*G156))</f>
        <v>0.18493150684931509</v>
      </c>
      <c r="M156" s="395">
        <f t="shared" si="9"/>
        <v>73</v>
      </c>
    </row>
    <row r="157" spans="2:13" hidden="1" x14ac:dyDescent="0.2">
      <c r="B157" s="538"/>
      <c r="C157" s="511" t="s">
        <v>543</v>
      </c>
      <c r="D157" s="613" t="e">
        <f>(SUM(H25:I25))/SUM(D17:M25)</f>
        <v>#DIV/0!</v>
      </c>
      <c r="E157" s="507"/>
      <c r="F157" s="507"/>
      <c r="G157" s="393">
        <f t="shared" si="6"/>
        <v>3.513513513513514</v>
      </c>
      <c r="H157" s="394">
        <f>('SITE DATA'!$F$26-(0.2*G157))^2/('SITE DATA'!$F$26+(0.8*G157))</f>
        <v>0.17567567567567571</v>
      </c>
      <c r="I157" s="395">
        <f t="shared" si="7"/>
        <v>74</v>
      </c>
      <c r="J157" s="394">
        <f>('SITE DATA'!$F$27-(0.2*G157))^2/('SITE DATA'!$F$27+(0.8*G157))</f>
        <v>0.17567567567567571</v>
      </c>
      <c r="K157" s="395">
        <f t="shared" si="8"/>
        <v>74</v>
      </c>
      <c r="L157" s="394">
        <f>('SITE DATA'!$F$28-(0.2*G157))^2/('SITE DATA'!$F$28+(0.8*G157))</f>
        <v>0.17567567567567571</v>
      </c>
      <c r="M157" s="395">
        <f t="shared" si="9"/>
        <v>74</v>
      </c>
    </row>
    <row r="158" spans="2:13" ht="24" hidden="1" thickBot="1" x14ac:dyDescent="0.4">
      <c r="B158" s="540" t="s">
        <v>571</v>
      </c>
      <c r="C158" s="511" t="s">
        <v>547</v>
      </c>
      <c r="D158" s="539" t="e">
        <f>0.05+(0.9*D157)</f>
        <v>#DIV/0!</v>
      </c>
      <c r="E158" s="507"/>
      <c r="F158" s="507"/>
      <c r="G158" s="393">
        <f t="shared" si="6"/>
        <v>3.3333333333333339</v>
      </c>
      <c r="H158" s="394">
        <f>('SITE DATA'!$F$26-(0.2*G158))^2/('SITE DATA'!$F$26+(0.8*G158))</f>
        <v>0.16666666666666671</v>
      </c>
      <c r="I158" s="395">
        <f t="shared" si="7"/>
        <v>75</v>
      </c>
      <c r="J158" s="394">
        <f>('SITE DATA'!$F$27-(0.2*G158))^2/('SITE DATA'!$F$27+(0.8*G158))</f>
        <v>0.16666666666666671</v>
      </c>
      <c r="K158" s="395">
        <f t="shared" si="8"/>
        <v>75</v>
      </c>
      <c r="L158" s="394">
        <f>('SITE DATA'!$F$28-(0.2*G158))^2/('SITE DATA'!$F$28+(0.8*G158))</f>
        <v>0.16666666666666671</v>
      </c>
      <c r="M158" s="395">
        <f t="shared" si="9"/>
        <v>75</v>
      </c>
    </row>
    <row r="159" spans="2:13" ht="24" hidden="1" thickBot="1" x14ac:dyDescent="0.4">
      <c r="B159" s="540"/>
      <c r="C159" s="534" t="s">
        <v>549</v>
      </c>
      <c r="D159" s="535" t="e">
        <f>3630*1*D158*SUM(H17:I25)</f>
        <v>#DIV/0!</v>
      </c>
      <c r="E159" s="615" t="e">
        <f>D159</f>
        <v>#DIV/0!</v>
      </c>
      <c r="F159" s="507"/>
      <c r="G159" s="393">
        <f t="shared" si="6"/>
        <v>3.1578947368421044</v>
      </c>
      <c r="H159" s="394">
        <f>('SITE DATA'!$F$26-(0.2*G159))^2/('SITE DATA'!$F$26+(0.8*G159))</f>
        <v>0.15789473684210523</v>
      </c>
      <c r="I159" s="586">
        <f t="shared" si="7"/>
        <v>76</v>
      </c>
      <c r="J159" s="394">
        <f>('SITE DATA'!$F$27-(0.2*G159))^2/('SITE DATA'!$F$27+(0.8*G159))</f>
        <v>0.15789473684210523</v>
      </c>
      <c r="K159" s="586">
        <f t="shared" si="8"/>
        <v>76</v>
      </c>
      <c r="L159" s="394">
        <f>('SITE DATA'!$F$28-(0.2*G159))^2/('SITE DATA'!$F$28+(0.8*G159))</f>
        <v>0.15789473684210523</v>
      </c>
      <c r="M159" s="586">
        <f t="shared" si="9"/>
        <v>76</v>
      </c>
    </row>
    <row r="160" spans="2:13" ht="15.75" hidden="1" thickBot="1" x14ac:dyDescent="0.25">
      <c r="B160" s="541"/>
      <c r="C160" s="537"/>
      <c r="D160" s="531"/>
      <c r="E160" s="507"/>
      <c r="F160" s="507"/>
      <c r="G160" s="393">
        <f t="shared" si="6"/>
        <v>2.9870129870129869</v>
      </c>
      <c r="H160" s="394">
        <f>('SITE DATA'!$F$26-(0.2*G160))^2/('SITE DATA'!$F$26+(0.8*G160))</f>
        <v>0.14935064935064934</v>
      </c>
      <c r="I160" s="586">
        <f t="shared" si="7"/>
        <v>77</v>
      </c>
      <c r="J160" s="394">
        <f>('SITE DATA'!$F$27-(0.2*G160))^2/('SITE DATA'!$F$27+(0.8*G160))</f>
        <v>0.14935064935064934</v>
      </c>
      <c r="K160" s="586">
        <f t="shared" si="8"/>
        <v>77</v>
      </c>
      <c r="L160" s="394">
        <f>('SITE DATA'!$F$28-(0.2*G160))^2/('SITE DATA'!$F$28+(0.8*G160))</f>
        <v>0.14935064935064934</v>
      </c>
      <c r="M160" s="586">
        <f t="shared" si="9"/>
        <v>77</v>
      </c>
    </row>
    <row r="161" spans="2:13" hidden="1" x14ac:dyDescent="0.2">
      <c r="B161" s="538"/>
      <c r="C161" s="511" t="s">
        <v>543</v>
      </c>
      <c r="D161" s="613" t="e">
        <f>(SUM(J25:K25))/SUM(D17:M25)</f>
        <v>#DIV/0!</v>
      </c>
      <c r="E161" s="507"/>
      <c r="F161" s="507"/>
      <c r="G161" s="393">
        <f t="shared" si="6"/>
        <v>2.8205128205128212</v>
      </c>
      <c r="H161" s="394">
        <f>('SITE DATA'!$F$26-(0.2*G161))^2/('SITE DATA'!$F$26+(0.8*G161))</f>
        <v>0.14102564102564105</v>
      </c>
      <c r="I161" s="586">
        <f t="shared" si="7"/>
        <v>78</v>
      </c>
      <c r="J161" s="394">
        <f>('SITE DATA'!$F$27-(0.2*G161))^2/('SITE DATA'!$F$27+(0.8*G161))</f>
        <v>0.14102564102564105</v>
      </c>
      <c r="K161" s="586">
        <f t="shared" si="8"/>
        <v>78</v>
      </c>
      <c r="L161" s="394">
        <f>('SITE DATA'!$F$28-(0.2*G161))^2/('SITE DATA'!$F$28+(0.8*G161))</f>
        <v>0.14102564102564105</v>
      </c>
      <c r="M161" s="586">
        <f t="shared" si="9"/>
        <v>78</v>
      </c>
    </row>
    <row r="162" spans="2:13" ht="24" hidden="1" thickBot="1" x14ac:dyDescent="0.4">
      <c r="B162" s="540" t="s">
        <v>572</v>
      </c>
      <c r="C162" s="511" t="s">
        <v>547</v>
      </c>
      <c r="D162" s="539" t="e">
        <f>0.05+(0.9*D161)</f>
        <v>#DIV/0!</v>
      </c>
      <c r="E162" s="507"/>
      <c r="F162" s="507"/>
      <c r="G162" s="393">
        <f t="shared" si="6"/>
        <v>2.6582278481012658</v>
      </c>
      <c r="H162" s="394">
        <f>('SITE DATA'!$F$26-(0.2*G162))^2/('SITE DATA'!$F$26+(0.8*G162))</f>
        <v>0.13291139240506331</v>
      </c>
      <c r="I162" s="586">
        <f t="shared" si="7"/>
        <v>79</v>
      </c>
      <c r="J162" s="394">
        <f>('SITE DATA'!$F$27-(0.2*G162))^2/('SITE DATA'!$F$27+(0.8*G162))</f>
        <v>0.13291139240506331</v>
      </c>
      <c r="K162" s="586">
        <f t="shared" si="8"/>
        <v>79</v>
      </c>
      <c r="L162" s="394">
        <f>('SITE DATA'!$F$28-(0.2*G162))^2/('SITE DATA'!$F$28+(0.8*G162))</f>
        <v>0.13291139240506331</v>
      </c>
      <c r="M162" s="586">
        <f t="shared" si="9"/>
        <v>79</v>
      </c>
    </row>
    <row r="163" spans="2:13" ht="24" hidden="1" thickBot="1" x14ac:dyDescent="0.4">
      <c r="B163" s="540"/>
      <c r="C163" s="534" t="s">
        <v>549</v>
      </c>
      <c r="D163" s="535" t="e">
        <f>3630*1*D162*SUM(J17:K25)</f>
        <v>#DIV/0!</v>
      </c>
      <c r="E163" s="615" t="e">
        <f>D163</f>
        <v>#DIV/0!</v>
      </c>
      <c r="F163" s="507"/>
      <c r="G163" s="393">
        <f t="shared" si="6"/>
        <v>2.5</v>
      </c>
      <c r="H163" s="394">
        <f>('SITE DATA'!$F$26-(0.2*G163))^2/('SITE DATA'!$F$26+(0.8*G163))</f>
        <v>0.125</v>
      </c>
      <c r="I163" s="586">
        <f t="shared" si="7"/>
        <v>80</v>
      </c>
      <c r="J163" s="394">
        <f>('SITE DATA'!$F$27-(0.2*G163))^2/('SITE DATA'!$F$27+(0.8*G163))</f>
        <v>0.125</v>
      </c>
      <c r="K163" s="586">
        <f t="shared" si="8"/>
        <v>80</v>
      </c>
      <c r="L163" s="394">
        <f>('SITE DATA'!$F$28-(0.2*G163))^2/('SITE DATA'!$F$28+(0.8*G163))</f>
        <v>0.125</v>
      </c>
      <c r="M163" s="586">
        <f t="shared" si="9"/>
        <v>80</v>
      </c>
    </row>
    <row r="164" spans="2:13" ht="15.75" hidden="1" thickBot="1" x14ac:dyDescent="0.25">
      <c r="B164" s="541"/>
      <c r="C164" s="537"/>
      <c r="D164" s="531"/>
      <c r="E164" s="507"/>
      <c r="F164" s="507"/>
      <c r="G164" s="393">
        <f t="shared" si="6"/>
        <v>2.3456790123456788</v>
      </c>
      <c r="H164" s="394">
        <f>('SITE DATA'!$F$26-(0.2*G164))^2/('SITE DATA'!$F$26+(0.8*G164))</f>
        <v>0.11728395061728394</v>
      </c>
      <c r="I164" s="586">
        <f t="shared" si="7"/>
        <v>81</v>
      </c>
      <c r="J164" s="394">
        <f>('SITE DATA'!$F$27-(0.2*G164))^2/('SITE DATA'!$F$27+(0.8*G164))</f>
        <v>0.11728395061728394</v>
      </c>
      <c r="K164" s="586">
        <f t="shared" si="8"/>
        <v>81</v>
      </c>
      <c r="L164" s="394">
        <f>('SITE DATA'!$F$28-(0.2*G164))^2/('SITE DATA'!$F$28+(0.8*G164))</f>
        <v>0.11728395061728394</v>
      </c>
      <c r="M164" s="586">
        <f t="shared" si="9"/>
        <v>81</v>
      </c>
    </row>
    <row r="165" spans="2:13" hidden="1" x14ac:dyDescent="0.2">
      <c r="B165" s="538"/>
      <c r="C165" s="511" t="s">
        <v>543</v>
      </c>
      <c r="D165" s="613" t="e">
        <f>(SUM(L25:M25))/SUM(D17:M25)</f>
        <v>#DIV/0!</v>
      </c>
      <c r="E165" s="507"/>
      <c r="F165" s="507"/>
      <c r="G165" s="393">
        <f t="shared" si="6"/>
        <v>2.1951219512195124</v>
      </c>
      <c r="H165" s="394">
        <f>('SITE DATA'!$F$26-(0.2*G165))^2/('SITE DATA'!$F$26+(0.8*G165))</f>
        <v>0.10975609756097562</v>
      </c>
      <c r="I165" s="586">
        <f t="shared" si="7"/>
        <v>82</v>
      </c>
      <c r="J165" s="394">
        <f>('SITE DATA'!$F$27-(0.2*G165))^2/('SITE DATA'!$F$27+(0.8*G165))</f>
        <v>0.10975609756097562</v>
      </c>
      <c r="K165" s="586">
        <f t="shared" si="8"/>
        <v>82</v>
      </c>
      <c r="L165" s="394">
        <f>('SITE DATA'!$F$28-(0.2*G165))^2/('SITE DATA'!$F$28+(0.8*G165))</f>
        <v>0.10975609756097562</v>
      </c>
      <c r="M165" s="586">
        <f t="shared" si="9"/>
        <v>82</v>
      </c>
    </row>
    <row r="166" spans="2:13" ht="24" hidden="1" thickBot="1" x14ac:dyDescent="0.4">
      <c r="B166" s="540" t="s">
        <v>573</v>
      </c>
      <c r="C166" s="511" t="s">
        <v>547</v>
      </c>
      <c r="D166" s="539" t="e">
        <f>0.05+(0.9*D165)</f>
        <v>#DIV/0!</v>
      </c>
      <c r="E166" s="507"/>
      <c r="F166" s="507"/>
      <c r="G166" s="393">
        <f t="shared" si="6"/>
        <v>2.0481927710843379</v>
      </c>
      <c r="H166" s="394">
        <f>('SITE DATA'!$F$26-(0.2*G166))^2/('SITE DATA'!$F$26+(0.8*G166))</f>
        <v>0.10240963855421689</v>
      </c>
      <c r="I166" s="586">
        <f t="shared" si="7"/>
        <v>83</v>
      </c>
      <c r="J166" s="394">
        <f>('SITE DATA'!$F$27-(0.2*G166))^2/('SITE DATA'!$F$27+(0.8*G166))</f>
        <v>0.10240963855421689</v>
      </c>
      <c r="K166" s="586">
        <f t="shared" si="8"/>
        <v>83</v>
      </c>
      <c r="L166" s="394">
        <f>('SITE DATA'!$F$28-(0.2*G166))^2/('SITE DATA'!$F$28+(0.8*G166))</f>
        <v>0.10240963855421689</v>
      </c>
      <c r="M166" s="586">
        <f t="shared" si="9"/>
        <v>83</v>
      </c>
    </row>
    <row r="167" spans="2:13" ht="24" hidden="1" thickBot="1" x14ac:dyDescent="0.4">
      <c r="B167" s="540"/>
      <c r="C167" s="534" t="s">
        <v>549</v>
      </c>
      <c r="D167" s="535" t="e">
        <f>3630*1*D166*SUM(L17:M25)</f>
        <v>#DIV/0!</v>
      </c>
      <c r="E167" s="615" t="e">
        <f>D167</f>
        <v>#DIV/0!</v>
      </c>
      <c r="F167" s="507"/>
      <c r="G167" s="393">
        <f t="shared" si="6"/>
        <v>1.9047619047619051</v>
      </c>
      <c r="H167" s="394">
        <f>('SITE DATA'!$F$26-(0.2*G167))^2/('SITE DATA'!$F$26+(0.8*G167))</f>
        <v>9.5238095238095261E-2</v>
      </c>
      <c r="I167" s="586">
        <f t="shared" si="7"/>
        <v>84</v>
      </c>
      <c r="J167" s="394">
        <f>('SITE DATA'!$F$27-(0.2*G167))^2/('SITE DATA'!$F$27+(0.8*G167))</f>
        <v>9.5238095238095261E-2</v>
      </c>
      <c r="K167" s="586">
        <f t="shared" si="8"/>
        <v>84</v>
      </c>
      <c r="L167" s="394">
        <f>('SITE DATA'!$F$28-(0.2*G167))^2/('SITE DATA'!$F$28+(0.8*G167))</f>
        <v>9.5238095238095261E-2</v>
      </c>
      <c r="M167" s="586">
        <f t="shared" si="9"/>
        <v>84</v>
      </c>
    </row>
    <row r="168" spans="2:13" ht="15.75" hidden="1" thickBot="1" x14ac:dyDescent="0.25">
      <c r="B168" s="541"/>
      <c r="C168" s="537"/>
      <c r="D168" s="531"/>
      <c r="E168" s="507"/>
      <c r="F168" s="507"/>
      <c r="G168" s="393">
        <f t="shared" si="6"/>
        <v>1.764705882352942</v>
      </c>
      <c r="H168" s="394">
        <f>('SITE DATA'!$F$26-(0.2*G168))^2/('SITE DATA'!$F$26+(0.8*G168))</f>
        <v>8.8235294117647106E-2</v>
      </c>
      <c r="I168" s="586">
        <f t="shared" si="7"/>
        <v>85</v>
      </c>
      <c r="J168" s="394">
        <f>('SITE DATA'!$F$27-(0.2*G168))^2/('SITE DATA'!$F$27+(0.8*G168))</f>
        <v>8.8235294117647106E-2</v>
      </c>
      <c r="K168" s="586">
        <f t="shared" si="8"/>
        <v>85</v>
      </c>
      <c r="L168" s="394">
        <f>('SITE DATA'!$F$28-(0.2*G168))^2/('SITE DATA'!$F$28+(0.8*G168))</f>
        <v>8.8235294117647106E-2</v>
      </c>
      <c r="M168" s="586">
        <f t="shared" si="9"/>
        <v>85</v>
      </c>
    </row>
    <row r="169" spans="2:13" hidden="1" x14ac:dyDescent="0.2">
      <c r="B169" s="397"/>
      <c r="C169" s="507"/>
      <c r="D169" s="507"/>
      <c r="E169" s="507"/>
      <c r="F169" s="160"/>
      <c r="G169" s="393">
        <f t="shared" si="6"/>
        <v>1.6279069767441854</v>
      </c>
      <c r="H169" s="394">
        <f>('SITE DATA'!$F$26-(0.2*G169))^2/('SITE DATA'!$F$26+(0.8*G169))</f>
        <v>8.139534883720928E-2</v>
      </c>
      <c r="I169" s="586">
        <f t="shared" si="7"/>
        <v>86</v>
      </c>
      <c r="J169" s="394">
        <f>('SITE DATA'!$F$27-(0.2*G169))^2/('SITE DATA'!$F$27+(0.8*G169))</f>
        <v>8.139534883720928E-2</v>
      </c>
      <c r="K169" s="586">
        <f t="shared" si="8"/>
        <v>86</v>
      </c>
      <c r="L169" s="394">
        <f>('SITE DATA'!$F$28-(0.2*G169))^2/('SITE DATA'!$F$28+(0.8*G169))</f>
        <v>8.139534883720928E-2</v>
      </c>
      <c r="M169" s="586">
        <f t="shared" si="9"/>
        <v>86</v>
      </c>
    </row>
    <row r="170" spans="2:13" hidden="1" x14ac:dyDescent="0.2">
      <c r="B170" s="397"/>
      <c r="C170" s="507"/>
      <c r="D170" s="507"/>
      <c r="E170" s="507"/>
      <c r="F170" s="507"/>
      <c r="G170" s="393">
        <f t="shared" si="6"/>
        <v>1.4942528735632177</v>
      </c>
      <c r="H170" s="394">
        <f>('SITE DATA'!$F$26-(0.2*G170))^2/('SITE DATA'!$F$26+(0.8*G170))</f>
        <v>7.4712643678160884E-2</v>
      </c>
      <c r="I170" s="586">
        <f t="shared" si="7"/>
        <v>87</v>
      </c>
      <c r="J170" s="394">
        <f>('SITE DATA'!$F$27-(0.2*G170))^2/('SITE DATA'!$F$27+(0.8*G170))</f>
        <v>7.4712643678160884E-2</v>
      </c>
      <c r="K170" s="586">
        <f t="shared" si="8"/>
        <v>87</v>
      </c>
      <c r="L170" s="394">
        <f>('SITE DATA'!$F$28-(0.2*G170))^2/('SITE DATA'!$F$28+(0.8*G170))</f>
        <v>7.4712643678160884E-2</v>
      </c>
      <c r="M170" s="586">
        <f t="shared" si="9"/>
        <v>87</v>
      </c>
    </row>
    <row r="171" spans="2:13" hidden="1" x14ac:dyDescent="0.2">
      <c r="B171" s="397"/>
      <c r="C171" s="507"/>
      <c r="D171" s="507"/>
      <c r="E171" s="507"/>
      <c r="F171" s="507"/>
      <c r="G171" s="393">
        <f t="shared" si="6"/>
        <v>1.3636363636363633</v>
      </c>
      <c r="H171" s="394">
        <f>('SITE DATA'!$F$26-(0.2*G171))^2/('SITE DATA'!$F$26+(0.8*G171))</f>
        <v>6.8181818181818163E-2</v>
      </c>
      <c r="I171" s="586">
        <f t="shared" si="7"/>
        <v>88</v>
      </c>
      <c r="J171" s="394">
        <f>('SITE DATA'!$F$27-(0.2*G171))^2/('SITE DATA'!$F$27+(0.8*G171))</f>
        <v>6.8181818181818163E-2</v>
      </c>
      <c r="K171" s="586">
        <f t="shared" si="8"/>
        <v>88</v>
      </c>
      <c r="L171" s="394">
        <f>('SITE DATA'!$F$28-(0.2*G171))^2/('SITE DATA'!$F$28+(0.8*G171))</f>
        <v>6.8181818181818163E-2</v>
      </c>
      <c r="M171" s="586">
        <f t="shared" si="9"/>
        <v>88</v>
      </c>
    </row>
    <row r="172" spans="2:13" hidden="1" x14ac:dyDescent="0.2">
      <c r="B172" s="397"/>
      <c r="C172" s="507"/>
      <c r="D172" s="507"/>
      <c r="E172" s="507"/>
      <c r="F172" s="507"/>
      <c r="G172" s="393">
        <f t="shared" si="6"/>
        <v>1.2359550561797761</v>
      </c>
      <c r="H172" s="394">
        <f>('SITE DATA'!$F$26-(0.2*G172))^2/('SITE DATA'!$F$26+(0.8*G172))</f>
        <v>6.1797752808988804E-2</v>
      </c>
      <c r="I172" s="586">
        <f t="shared" si="7"/>
        <v>89</v>
      </c>
      <c r="J172" s="394">
        <f>('SITE DATA'!$F$27-(0.2*G172))^2/('SITE DATA'!$F$27+(0.8*G172))</f>
        <v>6.1797752808988804E-2</v>
      </c>
      <c r="K172" s="586">
        <f t="shared" si="8"/>
        <v>89</v>
      </c>
      <c r="L172" s="394">
        <f>('SITE DATA'!$F$28-(0.2*G172))^2/('SITE DATA'!$F$28+(0.8*G172))</f>
        <v>6.1797752808988804E-2</v>
      </c>
      <c r="M172" s="586">
        <f t="shared" si="9"/>
        <v>89</v>
      </c>
    </row>
    <row r="173" spans="2:13" hidden="1" x14ac:dyDescent="0.2">
      <c r="B173" s="397"/>
      <c r="C173" s="507"/>
      <c r="D173" s="507"/>
      <c r="E173" s="507"/>
      <c r="F173" s="507"/>
      <c r="G173" s="393">
        <f t="shared" si="6"/>
        <v>1.1111111111111107</v>
      </c>
      <c r="H173" s="394">
        <f>('SITE DATA'!$F$26-(0.2*G173))^2/('SITE DATA'!$F$26+(0.8*G173))</f>
        <v>5.5555555555555539E-2</v>
      </c>
      <c r="I173" s="586">
        <f t="shared" si="7"/>
        <v>90</v>
      </c>
      <c r="J173" s="394">
        <f>('SITE DATA'!$F$27-(0.2*G173))^2/('SITE DATA'!$F$27+(0.8*G173))</f>
        <v>5.5555555555555539E-2</v>
      </c>
      <c r="K173" s="586">
        <f t="shared" si="8"/>
        <v>90</v>
      </c>
      <c r="L173" s="394">
        <f>('SITE DATA'!$F$28-(0.2*G173))^2/('SITE DATA'!$F$28+(0.8*G173))</f>
        <v>5.5555555555555539E-2</v>
      </c>
      <c r="M173" s="586">
        <f t="shared" si="9"/>
        <v>90</v>
      </c>
    </row>
    <row r="174" spans="2:13" hidden="1" x14ac:dyDescent="0.2">
      <c r="B174" s="397"/>
      <c r="C174" s="507"/>
      <c r="D174" s="507"/>
      <c r="E174" s="507"/>
      <c r="F174" s="507"/>
      <c r="G174" s="393">
        <f t="shared" si="6"/>
        <v>0.98901098901098905</v>
      </c>
      <c r="H174" s="394">
        <f>('SITE DATA'!$F$26-(0.2*G174))^2/('SITE DATA'!$F$26+(0.8*G174))</f>
        <v>4.9450549450549455E-2</v>
      </c>
      <c r="I174" s="586">
        <f t="shared" si="7"/>
        <v>91</v>
      </c>
      <c r="J174" s="394">
        <f>('SITE DATA'!$F$27-(0.2*G174))^2/('SITE DATA'!$F$27+(0.8*G174))</f>
        <v>4.9450549450549455E-2</v>
      </c>
      <c r="K174" s="586">
        <f t="shared" si="8"/>
        <v>91</v>
      </c>
      <c r="L174" s="394">
        <f>('SITE DATA'!$F$28-(0.2*G174))^2/('SITE DATA'!$F$28+(0.8*G174))</f>
        <v>4.9450549450549455E-2</v>
      </c>
      <c r="M174" s="586">
        <f t="shared" si="9"/>
        <v>91</v>
      </c>
    </row>
    <row r="175" spans="2:13" hidden="1" x14ac:dyDescent="0.2">
      <c r="B175" s="397"/>
      <c r="C175" s="507"/>
      <c r="D175" s="507"/>
      <c r="E175" s="507"/>
      <c r="F175" s="507"/>
      <c r="G175" s="393">
        <f t="shared" si="6"/>
        <v>0.86956521739130466</v>
      </c>
      <c r="H175" s="394">
        <f>('SITE DATA'!$F$26-(0.2*G175))^2/('SITE DATA'!$F$26+(0.8*G175))</f>
        <v>4.3478260869565237E-2</v>
      </c>
      <c r="I175" s="586">
        <f t="shared" si="7"/>
        <v>92</v>
      </c>
      <c r="J175" s="394">
        <f>('SITE DATA'!$F$27-(0.2*G175))^2/('SITE DATA'!$F$27+(0.8*G175))</f>
        <v>4.3478260869565237E-2</v>
      </c>
      <c r="K175" s="586">
        <f t="shared" si="8"/>
        <v>92</v>
      </c>
      <c r="L175" s="394">
        <f>('SITE DATA'!$F$28-(0.2*G175))^2/('SITE DATA'!$F$28+(0.8*G175))</f>
        <v>4.3478260869565237E-2</v>
      </c>
      <c r="M175" s="586">
        <f t="shared" si="9"/>
        <v>92</v>
      </c>
    </row>
    <row r="176" spans="2:13" hidden="1" x14ac:dyDescent="0.2">
      <c r="B176" s="397"/>
      <c r="C176" s="507"/>
      <c r="D176" s="507"/>
      <c r="E176" s="507"/>
      <c r="F176" s="507"/>
      <c r="G176" s="393">
        <f t="shared" si="6"/>
        <v>0.75268817204301008</v>
      </c>
      <c r="H176" s="394">
        <f>('SITE DATA'!$F$26-(0.2*G176))^2/('SITE DATA'!$F$26+(0.8*G176))</f>
        <v>3.7634408602150504E-2</v>
      </c>
      <c r="I176" s="586">
        <f t="shared" si="7"/>
        <v>93</v>
      </c>
      <c r="J176" s="394">
        <f>('SITE DATA'!$F$27-(0.2*G176))^2/('SITE DATA'!$F$27+(0.8*G176))</f>
        <v>3.7634408602150504E-2</v>
      </c>
      <c r="K176" s="586">
        <f t="shared" si="8"/>
        <v>93</v>
      </c>
      <c r="L176" s="394">
        <f>('SITE DATA'!$F$28-(0.2*G176))^2/('SITE DATA'!$F$28+(0.8*G176))</f>
        <v>3.7634408602150504E-2</v>
      </c>
      <c r="M176" s="586">
        <f t="shared" si="9"/>
        <v>93</v>
      </c>
    </row>
    <row r="177" spans="2:14" hidden="1" x14ac:dyDescent="0.2">
      <c r="B177" s="397"/>
      <c r="C177" s="507"/>
      <c r="D177" s="507"/>
      <c r="E177" s="507"/>
      <c r="F177" s="507"/>
      <c r="G177" s="393">
        <f t="shared" si="6"/>
        <v>0.63829787234042534</v>
      </c>
      <c r="H177" s="394">
        <f>('SITE DATA'!$F$26-(0.2*G177))^2/('SITE DATA'!$F$26+(0.8*G177))</f>
        <v>3.1914893617021267E-2</v>
      </c>
      <c r="I177" s="586">
        <f t="shared" si="7"/>
        <v>94</v>
      </c>
      <c r="J177" s="394">
        <f>('SITE DATA'!$F$27-(0.2*G177))^2/('SITE DATA'!$F$27+(0.8*G177))</f>
        <v>3.1914893617021267E-2</v>
      </c>
      <c r="K177" s="586">
        <f t="shared" si="8"/>
        <v>94</v>
      </c>
      <c r="L177" s="394">
        <f>('SITE DATA'!$F$28-(0.2*G177))^2/('SITE DATA'!$F$28+(0.8*G177))</f>
        <v>3.1914893617021267E-2</v>
      </c>
      <c r="M177" s="586">
        <f t="shared" si="9"/>
        <v>94</v>
      </c>
    </row>
    <row r="178" spans="2:14" hidden="1" x14ac:dyDescent="0.2">
      <c r="B178" s="397"/>
      <c r="C178" s="507"/>
      <c r="D178" s="507"/>
      <c r="E178" s="507"/>
      <c r="F178" s="507"/>
      <c r="G178" s="393">
        <f t="shared" si="6"/>
        <v>0.52631578947368496</v>
      </c>
      <c r="H178" s="394">
        <f>('SITE DATA'!$F$26-(0.2*G178))^2/('SITE DATA'!$F$26+(0.8*G178))</f>
        <v>2.6315789473684247E-2</v>
      </c>
      <c r="I178" s="586">
        <f t="shared" si="7"/>
        <v>95</v>
      </c>
      <c r="J178" s="394">
        <f>('SITE DATA'!$F$27-(0.2*G178))^2/('SITE DATA'!$F$27+(0.8*G178))</f>
        <v>2.6315789473684247E-2</v>
      </c>
      <c r="K178" s="586">
        <f t="shared" si="8"/>
        <v>95</v>
      </c>
      <c r="L178" s="394">
        <f>('SITE DATA'!$F$28-(0.2*G178))^2/('SITE DATA'!$F$28+(0.8*G178))</f>
        <v>2.6315789473684247E-2</v>
      </c>
      <c r="M178" s="586">
        <f t="shared" si="9"/>
        <v>95</v>
      </c>
    </row>
    <row r="179" spans="2:14" hidden="1" x14ac:dyDescent="0.2">
      <c r="B179" s="397"/>
      <c r="C179" s="507"/>
      <c r="D179" s="507"/>
      <c r="E179" s="507"/>
      <c r="F179" s="507"/>
      <c r="G179" s="393">
        <f t="shared" si="6"/>
        <v>0.41666666666666607</v>
      </c>
      <c r="H179" s="394">
        <f>('SITE DATA'!$F$26-(0.2*G179))^2/('SITE DATA'!$F$26+(0.8*G179))</f>
        <v>2.0833333333333304E-2</v>
      </c>
      <c r="I179" s="586">
        <f t="shared" si="7"/>
        <v>96</v>
      </c>
      <c r="J179" s="394">
        <f>('SITE DATA'!$F$27-(0.2*G179))^2/('SITE DATA'!$F$27+(0.8*G179))</f>
        <v>2.0833333333333304E-2</v>
      </c>
      <c r="K179" s="586">
        <f t="shared" si="8"/>
        <v>96</v>
      </c>
      <c r="L179" s="394">
        <f>('SITE DATA'!$F$28-(0.2*G179))^2/('SITE DATA'!$F$28+(0.8*G179))</f>
        <v>2.0833333333333304E-2</v>
      </c>
      <c r="M179" s="586">
        <f t="shared" si="9"/>
        <v>96</v>
      </c>
    </row>
    <row r="180" spans="2:14" hidden="1" x14ac:dyDescent="0.2">
      <c r="B180" s="397"/>
      <c r="C180" s="507"/>
      <c r="D180" s="507"/>
      <c r="E180" s="507"/>
      <c r="F180" s="507"/>
      <c r="G180" s="393">
        <f t="shared" si="6"/>
        <v>0.3092783505154646</v>
      </c>
      <c r="H180" s="394">
        <f>('SITE DATA'!$F$26-(0.2*G180))^2/('SITE DATA'!$F$26+(0.8*G180))</f>
        <v>1.5463917525773231E-2</v>
      </c>
      <c r="I180" s="586">
        <f t="shared" si="7"/>
        <v>97</v>
      </c>
      <c r="J180" s="394">
        <f>('SITE DATA'!$F$27-(0.2*G180))^2/('SITE DATA'!$F$27+(0.8*G180))</f>
        <v>1.5463917525773231E-2</v>
      </c>
      <c r="K180" s="586">
        <f t="shared" si="8"/>
        <v>97</v>
      </c>
      <c r="L180" s="394">
        <f>('SITE DATA'!$F$28-(0.2*G180))^2/('SITE DATA'!$F$28+(0.8*G180))</f>
        <v>1.5463917525773231E-2</v>
      </c>
      <c r="M180" s="586">
        <f t="shared" si="9"/>
        <v>97</v>
      </c>
    </row>
    <row r="181" spans="2:14" hidden="1" x14ac:dyDescent="0.2">
      <c r="B181" s="397"/>
      <c r="C181" s="507"/>
      <c r="D181" s="507"/>
      <c r="E181" s="507"/>
      <c r="F181" s="507"/>
      <c r="G181" s="393">
        <f t="shared" si="6"/>
        <v>0.20408163265306101</v>
      </c>
      <c r="H181" s="394">
        <f>('SITE DATA'!$F$26-(0.2*G181))^2/('SITE DATA'!$F$26+(0.8*G181))</f>
        <v>1.0204081632653052E-2</v>
      </c>
      <c r="I181" s="586">
        <f t="shared" si="7"/>
        <v>98</v>
      </c>
      <c r="J181" s="394">
        <f>('SITE DATA'!$F$27-(0.2*G181))^2/('SITE DATA'!$F$27+(0.8*G181))</f>
        <v>1.0204081632653052E-2</v>
      </c>
      <c r="K181" s="586">
        <f t="shared" si="8"/>
        <v>98</v>
      </c>
      <c r="L181" s="394">
        <f>('SITE DATA'!$F$28-(0.2*G181))^2/('SITE DATA'!$F$28+(0.8*G181))</f>
        <v>1.0204081632653052E-2</v>
      </c>
      <c r="M181" s="586">
        <f t="shared" si="9"/>
        <v>98</v>
      </c>
    </row>
    <row r="182" spans="2:14" hidden="1" x14ac:dyDescent="0.2">
      <c r="B182" s="397"/>
      <c r="C182" s="507"/>
      <c r="D182" s="507"/>
      <c r="E182" s="507"/>
      <c r="F182" s="507"/>
      <c r="G182" s="507"/>
      <c r="H182" s="507"/>
      <c r="I182" s="507"/>
      <c r="J182" s="507"/>
      <c r="K182" s="573"/>
      <c r="L182" s="507"/>
      <c r="M182" s="507"/>
      <c r="N182" s="507"/>
    </row>
    <row r="183" spans="2:14" hidden="1" x14ac:dyDescent="0.2">
      <c r="B183" s="397"/>
      <c r="C183" s="507"/>
      <c r="D183" s="507"/>
      <c r="E183" s="507"/>
      <c r="F183" s="507"/>
      <c r="G183" s="507"/>
      <c r="H183" s="507"/>
      <c r="I183" s="507"/>
      <c r="J183" s="507"/>
      <c r="K183" s="573"/>
      <c r="L183" s="507"/>
      <c r="M183" s="507"/>
      <c r="N183" s="507"/>
    </row>
    <row r="184" spans="2:14" hidden="1" x14ac:dyDescent="0.2">
      <c r="B184" s="397"/>
      <c r="C184" s="507"/>
      <c r="D184" s="507"/>
      <c r="E184" s="507"/>
      <c r="F184" s="507"/>
      <c r="G184" s="507"/>
      <c r="H184" s="507"/>
      <c r="I184" s="507"/>
      <c r="J184" s="507"/>
      <c r="K184" s="573"/>
      <c r="L184" s="507"/>
      <c r="M184" s="507"/>
      <c r="N184" s="507"/>
    </row>
    <row r="185" spans="2:14" hidden="1" x14ac:dyDescent="0.2">
      <c r="B185" s="397"/>
      <c r="C185" s="507"/>
      <c r="D185" s="507"/>
      <c r="E185" s="507"/>
      <c r="F185" s="507"/>
      <c r="G185" s="507"/>
      <c r="H185" s="507"/>
      <c r="I185" s="507"/>
      <c r="J185" s="507"/>
      <c r="K185" s="573"/>
      <c r="L185" s="507"/>
      <c r="M185" s="507"/>
      <c r="N185" s="507"/>
    </row>
    <row r="186" spans="2:14" hidden="1" x14ac:dyDescent="0.2">
      <c r="B186" s="397"/>
      <c r="C186" s="507"/>
      <c r="D186" s="507"/>
      <c r="E186" s="507"/>
      <c r="F186" s="507"/>
      <c r="G186" s="507"/>
      <c r="H186" s="507"/>
      <c r="I186" s="507"/>
      <c r="J186" s="507"/>
      <c r="K186" s="573"/>
      <c r="L186" s="507"/>
      <c r="M186" s="507"/>
      <c r="N186" s="507"/>
    </row>
    <row r="187" spans="2:14" hidden="1" x14ac:dyDescent="0.2">
      <c r="B187" s="397"/>
      <c r="C187" s="507"/>
      <c r="D187" s="507"/>
      <c r="E187" s="507"/>
      <c r="F187" s="507"/>
      <c r="G187" s="507"/>
      <c r="H187" s="507"/>
      <c r="I187" s="507"/>
      <c r="J187" s="507"/>
      <c r="K187" s="573"/>
      <c r="L187" s="507"/>
      <c r="M187" s="507"/>
      <c r="N187" s="507"/>
    </row>
    <row r="188" spans="2:14" hidden="1" x14ac:dyDescent="0.2">
      <c r="B188" s="397"/>
      <c r="C188" s="507"/>
      <c r="D188" s="507"/>
      <c r="E188" s="507"/>
      <c r="F188" s="507"/>
      <c r="G188" s="507"/>
      <c r="H188" s="507"/>
      <c r="I188" s="507"/>
      <c r="J188" s="507"/>
      <c r="K188" s="573"/>
      <c r="L188" s="507"/>
      <c r="M188" s="507"/>
      <c r="N188" s="507"/>
    </row>
    <row r="189" spans="2:14" hidden="1" x14ac:dyDescent="0.2">
      <c r="B189" s="397"/>
      <c r="C189" s="507"/>
      <c r="D189" s="507"/>
      <c r="E189" s="507"/>
      <c r="F189" s="507"/>
      <c r="G189" s="507"/>
      <c r="H189" s="507"/>
      <c r="I189" s="507"/>
      <c r="J189" s="507"/>
      <c r="K189" s="573"/>
      <c r="L189" s="507"/>
      <c r="M189" s="507"/>
      <c r="N189" s="507"/>
    </row>
    <row r="190" spans="2:14" hidden="1" x14ac:dyDescent="0.2">
      <c r="B190" s="397"/>
      <c r="C190" s="507"/>
      <c r="D190" s="507"/>
      <c r="E190" s="507"/>
      <c r="F190" s="507"/>
      <c r="G190" s="507"/>
      <c r="H190" s="507"/>
      <c r="I190" s="507"/>
      <c r="J190" s="507"/>
      <c r="K190" s="573"/>
      <c r="L190" s="507"/>
      <c r="M190" s="507"/>
      <c r="N190" s="507"/>
    </row>
    <row r="191" spans="2:14" hidden="1" x14ac:dyDescent="0.2">
      <c r="B191" s="397"/>
      <c r="C191" s="507"/>
      <c r="D191" s="507"/>
      <c r="E191" s="507"/>
      <c r="F191" s="507"/>
      <c r="G191" s="507"/>
      <c r="H191" s="507"/>
      <c r="I191" s="507"/>
      <c r="J191" s="507"/>
      <c r="K191" s="573"/>
      <c r="L191" s="507"/>
      <c r="M191" s="507"/>
      <c r="N191" s="507"/>
    </row>
    <row r="192" spans="2:14" hidden="1" x14ac:dyDescent="0.2">
      <c r="B192" s="397"/>
      <c r="C192" s="507"/>
      <c r="D192" s="507"/>
      <c r="E192" s="507"/>
      <c r="F192" s="507"/>
      <c r="G192" s="507"/>
      <c r="H192" s="507"/>
      <c r="I192" s="507"/>
      <c r="J192" s="507"/>
      <c r="K192" s="573"/>
      <c r="L192" s="507"/>
      <c r="M192" s="507"/>
      <c r="N192" s="507"/>
    </row>
    <row r="193" spans="1:27" hidden="1" x14ac:dyDescent="0.2">
      <c r="B193" s="397"/>
      <c r="C193" s="507"/>
      <c r="D193" s="507"/>
      <c r="E193" s="507"/>
      <c r="F193" s="507"/>
      <c r="G193" s="507"/>
      <c r="H193" s="507"/>
      <c r="I193" s="507"/>
      <c r="J193" s="507"/>
      <c r="K193" s="573"/>
      <c r="L193" s="507"/>
      <c r="M193" s="507"/>
      <c r="N193" s="507"/>
    </row>
    <row r="194" spans="1:27" hidden="1" x14ac:dyDescent="0.2">
      <c r="B194" s="397"/>
      <c r="C194" s="507"/>
      <c r="D194" s="507"/>
      <c r="E194" s="507"/>
      <c r="F194" s="507"/>
      <c r="G194" s="507"/>
      <c r="H194" s="507"/>
      <c r="I194" s="507"/>
      <c r="J194" s="507"/>
      <c r="K194" s="573"/>
      <c r="L194" s="507"/>
      <c r="M194" s="507"/>
      <c r="N194" s="507"/>
    </row>
    <row r="195" spans="1:27" hidden="1" x14ac:dyDescent="0.2">
      <c r="B195" s="397"/>
      <c r="C195" s="507"/>
      <c r="D195" s="507"/>
      <c r="E195" s="507"/>
      <c r="F195" s="507"/>
      <c r="G195" s="507"/>
      <c r="H195" s="507"/>
      <c r="I195" s="507"/>
      <c r="J195" s="507"/>
      <c r="K195" s="573"/>
      <c r="L195" s="507"/>
      <c r="M195" s="507"/>
      <c r="N195" s="507"/>
    </row>
    <row r="196" spans="1:27" hidden="1" x14ac:dyDescent="0.2">
      <c r="B196" s="397"/>
      <c r="C196" s="507"/>
      <c r="D196" s="507"/>
      <c r="E196" s="507"/>
      <c r="F196" s="507"/>
      <c r="G196" s="507"/>
      <c r="H196" s="507"/>
      <c r="I196" s="507"/>
      <c r="J196" s="507"/>
      <c r="K196" s="573"/>
      <c r="L196" s="507"/>
      <c r="M196" s="507"/>
      <c r="N196" s="507"/>
    </row>
    <row r="197" spans="1:27" hidden="1" x14ac:dyDescent="0.2">
      <c r="B197" s="507"/>
      <c r="C197" s="507"/>
      <c r="D197" s="507"/>
      <c r="E197" s="507"/>
      <c r="F197" s="507"/>
      <c r="G197" s="507"/>
      <c r="H197" s="507"/>
      <c r="I197" s="507"/>
      <c r="J197" s="507"/>
      <c r="K197" s="573"/>
      <c r="L197" s="507"/>
      <c r="M197" s="507"/>
      <c r="N197" s="507"/>
    </row>
    <row r="198" spans="1:27" hidden="1" x14ac:dyDescent="0.2">
      <c r="B198" s="507"/>
      <c r="C198" s="507"/>
      <c r="D198" s="507"/>
      <c r="E198" s="507"/>
      <c r="F198" s="507"/>
      <c r="G198" s="507"/>
      <c r="H198" s="507"/>
      <c r="I198" s="507"/>
      <c r="J198" s="507"/>
      <c r="K198" s="573"/>
      <c r="L198" s="507"/>
      <c r="M198" s="507"/>
      <c r="N198" s="507"/>
    </row>
    <row r="199" spans="1:27" hidden="1" x14ac:dyDescent="0.2">
      <c r="B199" s="507"/>
      <c r="C199" s="507"/>
      <c r="D199" s="507"/>
      <c r="E199" s="507"/>
      <c r="F199" s="507"/>
      <c r="G199" s="507"/>
      <c r="H199" s="507"/>
      <c r="I199" s="507"/>
      <c r="J199" s="507"/>
      <c r="K199" s="573"/>
      <c r="L199" s="507"/>
      <c r="M199" s="507"/>
      <c r="N199" s="507"/>
    </row>
    <row r="200" spans="1:27" hidden="1" x14ac:dyDescent="0.2">
      <c r="B200" s="507"/>
      <c r="C200" s="507"/>
      <c r="D200" s="507"/>
      <c r="E200" s="507"/>
      <c r="F200" s="507"/>
      <c r="G200" s="507"/>
      <c r="H200" s="507"/>
      <c r="I200" s="507"/>
      <c r="J200" s="507"/>
      <c r="K200" s="573"/>
      <c r="L200" s="507"/>
      <c r="M200" s="507"/>
      <c r="N200" s="507"/>
    </row>
    <row r="201" spans="1:27" hidden="1" x14ac:dyDescent="0.2">
      <c r="B201" s="507"/>
      <c r="C201" s="507"/>
      <c r="D201" s="507"/>
      <c r="E201" s="507"/>
      <c r="F201" s="507"/>
      <c r="G201" s="507"/>
      <c r="H201" s="507"/>
      <c r="I201" s="507"/>
      <c r="J201" s="507"/>
      <c r="K201" s="573"/>
      <c r="L201" s="507"/>
      <c r="M201" s="507"/>
      <c r="N201" s="507"/>
    </row>
    <row r="202" spans="1:27" hidden="1" x14ac:dyDescent="0.2">
      <c r="B202" s="507"/>
      <c r="C202" s="507"/>
      <c r="D202" s="507"/>
      <c r="E202" s="507"/>
      <c r="F202" s="507"/>
      <c r="G202" s="507"/>
      <c r="H202" s="507"/>
      <c r="I202" s="507"/>
      <c r="J202" s="507"/>
      <c r="K202" s="573"/>
      <c r="L202" s="507"/>
      <c r="M202" s="507"/>
      <c r="N202" s="507"/>
    </row>
    <row r="203" spans="1:27" hidden="1" x14ac:dyDescent="0.2">
      <c r="B203" s="507"/>
      <c r="C203" s="507"/>
      <c r="D203" s="507"/>
      <c r="E203" s="507"/>
      <c r="F203" s="507"/>
      <c r="G203" s="507"/>
      <c r="H203" s="507"/>
      <c r="I203" s="507"/>
      <c r="J203" s="507"/>
      <c r="K203" s="573"/>
      <c r="L203" s="507"/>
      <c r="M203" s="507"/>
      <c r="N203" s="507"/>
    </row>
    <row r="204" spans="1:27" hidden="1" x14ac:dyDescent="0.2">
      <c r="B204" s="507"/>
      <c r="C204" s="507"/>
      <c r="D204" s="507"/>
      <c r="E204" s="507"/>
      <c r="F204" s="507"/>
      <c r="G204" s="507"/>
      <c r="H204" s="507"/>
      <c r="I204" s="507"/>
      <c r="J204" s="507"/>
      <c r="K204" s="573"/>
      <c r="L204" s="507"/>
      <c r="M204" s="507"/>
      <c r="N204" s="507"/>
    </row>
    <row r="205" spans="1:27" hidden="1" x14ac:dyDescent="0.2">
      <c r="B205" s="507"/>
      <c r="C205" s="507"/>
      <c r="D205" s="507"/>
      <c r="E205" s="507"/>
      <c r="F205" s="507"/>
      <c r="G205" s="507"/>
      <c r="H205" s="507"/>
      <c r="I205" s="507"/>
      <c r="J205" s="507"/>
      <c r="K205" s="573"/>
      <c r="L205" s="507"/>
      <c r="M205" s="507"/>
      <c r="N205" s="507"/>
    </row>
    <row r="206" spans="1:27" ht="15.75" hidden="1" x14ac:dyDescent="0.2">
      <c r="B206" s="576"/>
      <c r="C206" s="576"/>
      <c r="D206" s="576"/>
      <c r="E206" s="576"/>
      <c r="F206" s="577"/>
      <c r="G206" s="577"/>
      <c r="H206" s="577"/>
      <c r="I206" s="577"/>
      <c r="J206" s="577"/>
      <c r="K206" s="577"/>
      <c r="L206" s="577"/>
      <c r="M206" s="577"/>
      <c r="N206" s="507"/>
      <c r="Z206" s="507"/>
      <c r="AA206" s="507"/>
    </row>
    <row r="207" spans="1:27" s="523" customFormat="1" x14ac:dyDescent="0.2">
      <c r="A207" s="737" t="s">
        <v>449</v>
      </c>
      <c r="B207" s="737"/>
      <c r="C207" s="737"/>
      <c r="D207" s="737"/>
      <c r="E207" s="737"/>
      <c r="F207" s="737"/>
      <c r="G207" s="737"/>
      <c r="H207" s="737"/>
      <c r="I207" s="737"/>
      <c r="J207" s="737"/>
      <c r="K207" s="737"/>
      <c r="L207" s="737"/>
      <c r="M207" s="507"/>
    </row>
    <row r="208" spans="1:27" x14ac:dyDescent="0.2">
      <c r="A208" s="737"/>
      <c r="B208" s="737"/>
      <c r="C208" s="737"/>
      <c r="D208" s="737"/>
      <c r="E208" s="737"/>
      <c r="F208" s="737"/>
      <c r="G208" s="737"/>
      <c r="H208" s="737"/>
      <c r="I208" s="737"/>
      <c r="J208" s="737"/>
      <c r="K208" s="737"/>
      <c r="L208" s="737"/>
      <c r="M208" s="507"/>
      <c r="N208" s="507"/>
      <c r="Z208" s="507"/>
    </row>
    <row r="209" spans="1:26" ht="15.75" x14ac:dyDescent="0.2">
      <c r="A209" s="738" t="s">
        <v>436</v>
      </c>
      <c r="B209" s="738"/>
      <c r="C209" s="738"/>
      <c r="D209" s="738"/>
      <c r="E209" s="738"/>
      <c r="F209" s="738"/>
      <c r="G209" s="738"/>
      <c r="H209" s="738"/>
      <c r="I209" s="738"/>
      <c r="J209" s="738"/>
      <c r="K209" s="738"/>
      <c r="L209" s="738"/>
      <c r="M209" s="507"/>
      <c r="N209" s="507"/>
      <c r="Z209" s="507"/>
    </row>
    <row r="210" spans="1:26" x14ac:dyDescent="0.2">
      <c r="A210" s="737" t="s">
        <v>450</v>
      </c>
      <c r="B210" s="737"/>
      <c r="C210" s="737"/>
      <c r="D210" s="737"/>
      <c r="E210" s="737"/>
      <c r="F210" s="737"/>
      <c r="G210" s="737"/>
      <c r="H210" s="737"/>
      <c r="I210" s="737"/>
      <c r="J210" s="737"/>
      <c r="K210" s="737"/>
      <c r="L210" s="737"/>
      <c r="M210" s="507"/>
      <c r="N210" s="507"/>
      <c r="Z210" s="507"/>
    </row>
    <row r="211" spans="1:26" x14ac:dyDescent="0.2">
      <c r="A211" s="737"/>
      <c r="B211" s="737"/>
      <c r="C211" s="737"/>
      <c r="D211" s="737"/>
      <c r="E211" s="737"/>
      <c r="F211" s="737"/>
      <c r="G211" s="737"/>
      <c r="H211" s="737"/>
      <c r="I211" s="737"/>
      <c r="J211" s="737"/>
      <c r="K211" s="737"/>
      <c r="L211" s="737"/>
      <c r="M211" s="507"/>
      <c r="N211" s="507"/>
      <c r="Z211" s="507"/>
    </row>
    <row r="212" spans="1:26" ht="15.75" x14ac:dyDescent="0.2">
      <c r="A212" s="738" t="s">
        <v>436</v>
      </c>
      <c r="B212" s="738"/>
      <c r="C212" s="738"/>
      <c r="D212" s="738"/>
      <c r="E212" s="738"/>
      <c r="F212" s="738"/>
      <c r="G212" s="738"/>
      <c r="H212" s="738"/>
      <c r="I212" s="738"/>
      <c r="J212" s="738"/>
      <c r="K212" s="738"/>
      <c r="L212" s="738"/>
      <c r="M212" s="507"/>
      <c r="N212" s="507"/>
      <c r="Z212" s="507"/>
    </row>
    <row r="213" spans="1:26" x14ac:dyDescent="0.2">
      <c r="A213" s="737" t="s">
        <v>451</v>
      </c>
      <c r="B213" s="737"/>
      <c r="C213" s="737"/>
      <c r="D213" s="737"/>
      <c r="E213" s="737"/>
      <c r="F213" s="737"/>
      <c r="G213" s="737"/>
      <c r="H213" s="737"/>
      <c r="I213" s="737"/>
      <c r="J213" s="737"/>
      <c r="K213" s="737"/>
      <c r="L213" s="737"/>
      <c r="M213" s="507"/>
      <c r="N213" s="507"/>
      <c r="Z213" s="507"/>
    </row>
    <row r="214" spans="1:26" x14ac:dyDescent="0.2">
      <c r="A214" s="737"/>
      <c r="B214" s="737"/>
      <c r="C214" s="737"/>
      <c r="D214" s="737"/>
      <c r="E214" s="737"/>
      <c r="F214" s="737"/>
      <c r="G214" s="737"/>
      <c r="H214" s="737"/>
      <c r="I214" s="737"/>
      <c r="J214" s="737"/>
      <c r="K214" s="737"/>
      <c r="L214" s="737"/>
      <c r="M214" s="507"/>
      <c r="N214" s="507"/>
      <c r="Z214" s="507"/>
    </row>
    <row r="215" spans="1:26" x14ac:dyDescent="0.2">
      <c r="B215" s="507"/>
      <c r="C215" s="507"/>
      <c r="D215" s="507"/>
      <c r="E215" s="507"/>
      <c r="F215" s="507"/>
      <c r="G215" s="507"/>
      <c r="H215" s="507"/>
      <c r="I215" s="507"/>
      <c r="J215" s="507"/>
      <c r="K215" s="573"/>
      <c r="L215" s="507"/>
      <c r="M215" s="507"/>
      <c r="N215" s="507"/>
    </row>
    <row r="216" spans="1:26" x14ac:dyDescent="0.2">
      <c r="B216" s="507"/>
      <c r="C216" s="507"/>
      <c r="D216" s="507"/>
      <c r="E216" s="507"/>
      <c r="F216" s="507"/>
      <c r="G216" s="507"/>
      <c r="H216" s="507"/>
      <c r="I216" s="507"/>
      <c r="J216" s="507"/>
      <c r="K216" s="573"/>
      <c r="L216" s="507"/>
      <c r="M216" s="507"/>
      <c r="N216" s="507"/>
    </row>
    <row r="217" spans="1:26" x14ac:dyDescent="0.2">
      <c r="B217" s="507"/>
      <c r="C217" s="507"/>
      <c r="D217" s="507"/>
      <c r="E217" s="507"/>
      <c r="F217" s="507"/>
      <c r="G217" s="507"/>
      <c r="H217" s="507"/>
      <c r="I217" s="507"/>
      <c r="J217" s="507"/>
      <c r="K217" s="573"/>
      <c r="L217" s="507"/>
      <c r="M217" s="507"/>
      <c r="N217" s="507"/>
    </row>
    <row r="218" spans="1:26" x14ac:dyDescent="0.2">
      <c r="B218" s="507"/>
      <c r="C218" s="507"/>
      <c r="D218" s="507"/>
      <c r="E218" s="507"/>
      <c r="F218" s="507"/>
      <c r="G218" s="507"/>
      <c r="H218" s="507"/>
      <c r="I218" s="507"/>
      <c r="J218" s="507"/>
      <c r="K218" s="573"/>
      <c r="L218" s="507"/>
      <c r="M218" s="507"/>
      <c r="N218" s="507"/>
    </row>
    <row r="219" spans="1:26" x14ac:dyDescent="0.2">
      <c r="B219" s="507"/>
      <c r="C219" s="507"/>
      <c r="D219" s="507"/>
      <c r="E219" s="507"/>
      <c r="F219" s="507"/>
      <c r="G219" s="507"/>
      <c r="H219" s="507"/>
      <c r="I219" s="507"/>
      <c r="J219" s="507"/>
      <c r="K219" s="573"/>
      <c r="L219" s="507"/>
      <c r="M219" s="507"/>
      <c r="N219" s="507"/>
    </row>
    <row r="220" spans="1:26" x14ac:dyDescent="0.2">
      <c r="B220" s="507"/>
      <c r="C220" s="507"/>
      <c r="D220" s="507"/>
      <c r="E220" s="507"/>
      <c r="F220" s="507"/>
      <c r="G220" s="507"/>
      <c r="H220" s="507"/>
      <c r="I220" s="507"/>
      <c r="J220" s="507"/>
      <c r="K220" s="573"/>
      <c r="L220" s="507"/>
      <c r="M220" s="507"/>
      <c r="N220" s="507"/>
    </row>
    <row r="221" spans="1:26" x14ac:dyDescent="0.2">
      <c r="B221" s="507"/>
      <c r="C221" s="507"/>
      <c r="D221" s="507"/>
      <c r="E221" s="507"/>
      <c r="F221" s="507"/>
      <c r="G221" s="507"/>
      <c r="H221" s="507"/>
      <c r="I221" s="507"/>
      <c r="J221" s="507"/>
      <c r="K221" s="573"/>
      <c r="L221" s="507"/>
      <c r="M221" s="507"/>
      <c r="N221" s="507"/>
    </row>
    <row r="222" spans="1:26" x14ac:dyDescent="0.2">
      <c r="B222" s="507"/>
      <c r="C222" s="507"/>
      <c r="D222" s="507"/>
      <c r="E222" s="507"/>
      <c r="F222" s="507"/>
      <c r="G222" s="507"/>
      <c r="H222" s="507"/>
      <c r="I222" s="507"/>
      <c r="J222" s="507"/>
      <c r="K222" s="573"/>
      <c r="L222" s="507"/>
      <c r="M222" s="507"/>
      <c r="N222" s="507"/>
    </row>
    <row r="223" spans="1:26" x14ac:dyDescent="0.2">
      <c r="B223" s="507"/>
      <c r="C223" s="507"/>
      <c r="D223" s="507"/>
      <c r="E223" s="507"/>
      <c r="F223" s="507"/>
      <c r="G223" s="507"/>
      <c r="H223" s="507"/>
      <c r="I223" s="507"/>
      <c r="J223" s="507"/>
      <c r="K223" s="573"/>
      <c r="L223" s="507"/>
      <c r="M223" s="507"/>
      <c r="N223" s="507"/>
    </row>
    <row r="224" spans="1:26" x14ac:dyDescent="0.2">
      <c r="B224" s="507"/>
      <c r="C224" s="507"/>
      <c r="D224" s="507"/>
      <c r="E224" s="507"/>
      <c r="F224" s="507"/>
      <c r="G224" s="507"/>
      <c r="H224" s="507"/>
      <c r="I224" s="507"/>
      <c r="J224" s="507"/>
      <c r="K224" s="573"/>
      <c r="L224" s="507"/>
      <c r="M224" s="507"/>
      <c r="N224" s="507"/>
    </row>
    <row r="225" spans="2:14" x14ac:dyDescent="0.2">
      <c r="B225" s="507"/>
      <c r="C225" s="507"/>
      <c r="D225" s="507"/>
      <c r="E225" s="507"/>
      <c r="F225" s="507"/>
      <c r="G225" s="507"/>
      <c r="H225" s="507"/>
      <c r="I225" s="507"/>
      <c r="J225" s="507"/>
      <c r="K225" s="573"/>
      <c r="L225" s="507"/>
      <c r="M225" s="507"/>
      <c r="N225" s="507"/>
    </row>
    <row r="226" spans="2:14" x14ac:dyDescent="0.2">
      <c r="B226" s="507"/>
      <c r="C226" s="507"/>
      <c r="D226" s="507"/>
      <c r="E226" s="507"/>
      <c r="F226" s="507"/>
      <c r="G226" s="507"/>
      <c r="H226" s="507"/>
      <c r="I226" s="507"/>
      <c r="J226" s="507"/>
      <c r="K226" s="573"/>
      <c r="L226" s="507"/>
      <c r="M226" s="507"/>
      <c r="N226" s="507"/>
    </row>
    <row r="227" spans="2:14" x14ac:dyDescent="0.2">
      <c r="B227" s="507"/>
      <c r="C227" s="507"/>
      <c r="D227" s="507"/>
      <c r="E227" s="507"/>
      <c r="F227" s="507"/>
      <c r="G227" s="507"/>
      <c r="H227" s="507"/>
      <c r="I227" s="507"/>
      <c r="J227" s="507"/>
      <c r="K227" s="573"/>
      <c r="L227" s="507"/>
      <c r="M227" s="507"/>
      <c r="N227" s="507"/>
    </row>
    <row r="228" spans="2:14" x14ac:dyDescent="0.2">
      <c r="B228" s="507"/>
      <c r="C228" s="507"/>
      <c r="D228" s="507"/>
      <c r="E228" s="507"/>
      <c r="F228" s="507"/>
      <c r="G228" s="507"/>
      <c r="H228" s="507"/>
      <c r="I228" s="507"/>
      <c r="J228" s="507"/>
      <c r="K228" s="573"/>
      <c r="L228" s="507"/>
      <c r="M228" s="507"/>
      <c r="N228" s="507"/>
    </row>
    <row r="229" spans="2:14" x14ac:dyDescent="0.2">
      <c r="B229" s="507"/>
      <c r="C229" s="507"/>
      <c r="D229" s="507"/>
      <c r="E229" s="507"/>
      <c r="F229" s="507"/>
      <c r="G229" s="507"/>
      <c r="H229" s="507"/>
      <c r="I229" s="507"/>
      <c r="J229" s="507"/>
      <c r="K229" s="573"/>
      <c r="L229" s="507"/>
      <c r="M229" s="507"/>
      <c r="N229" s="507"/>
    </row>
    <row r="230" spans="2:14" x14ac:dyDescent="0.2">
      <c r="B230" s="507"/>
      <c r="C230" s="507"/>
      <c r="D230" s="507"/>
      <c r="E230" s="507"/>
      <c r="F230" s="507"/>
      <c r="G230" s="507"/>
      <c r="H230" s="507"/>
      <c r="I230" s="507"/>
      <c r="J230" s="507"/>
      <c r="K230" s="573"/>
      <c r="L230" s="507"/>
      <c r="M230" s="507"/>
      <c r="N230" s="507"/>
    </row>
    <row r="231" spans="2:14" x14ac:dyDescent="0.2">
      <c r="B231" s="507"/>
      <c r="C231" s="507"/>
      <c r="D231" s="507"/>
      <c r="E231" s="507"/>
      <c r="F231" s="507"/>
      <c r="G231" s="507"/>
      <c r="H231" s="507"/>
      <c r="I231" s="507"/>
      <c r="J231" s="507"/>
      <c r="K231" s="573"/>
      <c r="L231" s="507"/>
      <c r="M231" s="507"/>
      <c r="N231" s="507"/>
    </row>
    <row r="232" spans="2:14" x14ac:dyDescent="0.2">
      <c r="B232" s="507"/>
      <c r="C232" s="507"/>
      <c r="D232" s="507"/>
      <c r="E232" s="507"/>
      <c r="F232" s="507"/>
      <c r="G232" s="507"/>
      <c r="H232" s="507"/>
      <c r="I232" s="507"/>
      <c r="J232" s="507"/>
      <c r="K232" s="573"/>
      <c r="L232" s="507"/>
      <c r="M232" s="507"/>
      <c r="N232" s="507"/>
    </row>
    <row r="233" spans="2:14" s="507" customFormat="1" x14ac:dyDescent="0.2">
      <c r="K233" s="573"/>
    </row>
    <row r="234" spans="2:14" s="507" customFormat="1" x14ac:dyDescent="0.2">
      <c r="K234" s="573"/>
    </row>
    <row r="235" spans="2:14" s="507" customFormat="1" x14ac:dyDescent="0.2">
      <c r="K235" s="573"/>
    </row>
    <row r="236" spans="2:14" s="507" customFormat="1" x14ac:dyDescent="0.2">
      <c r="K236" s="573"/>
    </row>
    <row r="237" spans="2:14" s="507" customFormat="1" x14ac:dyDescent="0.2">
      <c r="K237" s="573"/>
    </row>
    <row r="238" spans="2:14" s="507" customFormat="1" x14ac:dyDescent="0.2">
      <c r="K238" s="573"/>
    </row>
    <row r="239" spans="2:14" s="507" customFormat="1" x14ac:dyDescent="0.2">
      <c r="K239" s="573"/>
    </row>
    <row r="240" spans="2:14" s="507" customFormat="1" x14ac:dyDescent="0.2">
      <c r="K240" s="573"/>
    </row>
    <row r="241" spans="11:11" s="507" customFormat="1" x14ac:dyDescent="0.2">
      <c r="K241" s="573"/>
    </row>
    <row r="242" spans="11:11" s="507" customFormat="1" x14ac:dyDescent="0.2">
      <c r="K242" s="573"/>
    </row>
    <row r="243" spans="11:11" s="507" customFormat="1" x14ac:dyDescent="0.2">
      <c r="K243" s="573"/>
    </row>
    <row r="244" spans="11:11" s="507" customFormat="1" x14ac:dyDescent="0.2">
      <c r="K244" s="573"/>
    </row>
    <row r="245" spans="11:11" s="507" customFormat="1" x14ac:dyDescent="0.2">
      <c r="K245" s="573"/>
    </row>
    <row r="246" spans="11:11" s="507" customFormat="1" x14ac:dyDescent="0.2">
      <c r="K246" s="573"/>
    </row>
    <row r="247" spans="11:11" s="507" customFormat="1" x14ac:dyDescent="0.2">
      <c r="K247" s="573"/>
    </row>
    <row r="248" spans="11:11" s="507" customFormat="1" x14ac:dyDescent="0.2">
      <c r="K248" s="573"/>
    </row>
    <row r="249" spans="11:11" s="507" customFormat="1" x14ac:dyDescent="0.2">
      <c r="K249" s="573"/>
    </row>
    <row r="250" spans="11:11" s="507" customFormat="1" x14ac:dyDescent="0.2">
      <c r="K250" s="573"/>
    </row>
    <row r="251" spans="11:11" s="507" customFormat="1" x14ac:dyDescent="0.2">
      <c r="K251" s="573"/>
    </row>
    <row r="252" spans="11:11" s="507" customFormat="1" x14ac:dyDescent="0.2">
      <c r="K252" s="573"/>
    </row>
    <row r="253" spans="11:11" s="507" customFormat="1" x14ac:dyDescent="0.2">
      <c r="K253" s="573"/>
    </row>
    <row r="254" spans="11:11" s="507" customFormat="1" x14ac:dyDescent="0.2">
      <c r="K254" s="573"/>
    </row>
    <row r="255" spans="11:11" s="507" customFormat="1" x14ac:dyDescent="0.2">
      <c r="K255" s="573"/>
    </row>
    <row r="256" spans="11:11" s="507" customFormat="1" x14ac:dyDescent="0.2">
      <c r="K256" s="573"/>
    </row>
    <row r="257" spans="11:11" s="507" customFormat="1" x14ac:dyDescent="0.2">
      <c r="K257" s="573"/>
    </row>
    <row r="258" spans="11:11" s="507" customFormat="1" x14ac:dyDescent="0.2">
      <c r="K258" s="573"/>
    </row>
    <row r="259" spans="11:11" s="507" customFormat="1" x14ac:dyDescent="0.2">
      <c r="K259" s="573"/>
    </row>
    <row r="260" spans="11:11" s="507" customFormat="1" x14ac:dyDescent="0.2">
      <c r="K260" s="573"/>
    </row>
    <row r="261" spans="11:11" s="507" customFormat="1" x14ac:dyDescent="0.2">
      <c r="K261" s="573"/>
    </row>
    <row r="262" spans="11:11" s="507" customFormat="1" x14ac:dyDescent="0.2">
      <c r="K262" s="573"/>
    </row>
    <row r="263" spans="11:11" s="507" customFormat="1" x14ac:dyDescent="0.2">
      <c r="K263" s="573"/>
    </row>
    <row r="264" spans="11:11" s="507" customFormat="1" x14ac:dyDescent="0.2">
      <c r="K264" s="573"/>
    </row>
    <row r="265" spans="11:11" s="507" customFormat="1" x14ac:dyDescent="0.2">
      <c r="K265" s="573"/>
    </row>
    <row r="266" spans="11:11" s="507" customFormat="1" x14ac:dyDescent="0.2">
      <c r="K266" s="573"/>
    </row>
    <row r="267" spans="11:11" s="507" customFormat="1" x14ac:dyDescent="0.2">
      <c r="K267" s="573"/>
    </row>
    <row r="268" spans="11:11" s="507" customFormat="1" x14ac:dyDescent="0.2">
      <c r="K268" s="573"/>
    </row>
    <row r="269" spans="11:11" s="507" customFormat="1" x14ac:dyDescent="0.2">
      <c r="K269" s="573"/>
    </row>
    <row r="270" spans="11:11" s="507" customFormat="1" x14ac:dyDescent="0.2">
      <c r="K270" s="573"/>
    </row>
    <row r="271" spans="11:11" s="507" customFormat="1" x14ac:dyDescent="0.2">
      <c r="K271" s="573"/>
    </row>
    <row r="272" spans="11:11" s="507" customFormat="1" x14ac:dyDescent="0.2">
      <c r="K272" s="573"/>
    </row>
    <row r="273" spans="11:11" s="507" customFormat="1" x14ac:dyDescent="0.2">
      <c r="K273" s="573"/>
    </row>
    <row r="274" spans="11:11" s="507" customFormat="1" x14ac:dyDescent="0.2">
      <c r="K274" s="573"/>
    </row>
    <row r="275" spans="11:11" s="507" customFormat="1" x14ac:dyDescent="0.2">
      <c r="K275" s="573"/>
    </row>
    <row r="276" spans="11:11" s="507" customFormat="1" x14ac:dyDescent="0.2">
      <c r="K276" s="573"/>
    </row>
    <row r="277" spans="11:11" s="507" customFormat="1" x14ac:dyDescent="0.2">
      <c r="K277" s="573"/>
    </row>
    <row r="278" spans="11:11" s="507" customFormat="1" x14ac:dyDescent="0.2">
      <c r="K278" s="573"/>
    </row>
    <row r="279" spans="11:11" s="507" customFormat="1" x14ac:dyDescent="0.2">
      <c r="K279" s="573"/>
    </row>
    <row r="280" spans="11:11" s="507" customFormat="1" x14ac:dyDescent="0.2">
      <c r="K280" s="573"/>
    </row>
    <row r="281" spans="11:11" s="507" customFormat="1" x14ac:dyDescent="0.2">
      <c r="K281" s="573"/>
    </row>
    <row r="282" spans="11:11" s="507" customFormat="1" x14ac:dyDescent="0.2">
      <c r="K282" s="573"/>
    </row>
    <row r="283" spans="11:11" s="507" customFormat="1" x14ac:dyDescent="0.2">
      <c r="K283" s="573"/>
    </row>
    <row r="284" spans="11:11" s="507" customFormat="1" x14ac:dyDescent="0.2">
      <c r="K284" s="573"/>
    </row>
    <row r="285" spans="11:11" s="507" customFormat="1" x14ac:dyDescent="0.2">
      <c r="K285" s="573"/>
    </row>
    <row r="286" spans="11:11" s="507" customFormat="1" x14ac:dyDescent="0.2">
      <c r="K286" s="573"/>
    </row>
    <row r="287" spans="11:11" s="507" customFormat="1" x14ac:dyDescent="0.2">
      <c r="K287" s="573"/>
    </row>
    <row r="288" spans="11:11" s="507" customFormat="1" x14ac:dyDescent="0.2">
      <c r="K288" s="573"/>
    </row>
    <row r="289" spans="11:11" s="507" customFormat="1" x14ac:dyDescent="0.2">
      <c r="K289" s="573"/>
    </row>
    <row r="290" spans="11:11" s="507" customFormat="1" x14ac:dyDescent="0.2">
      <c r="K290" s="573"/>
    </row>
    <row r="291" spans="11:11" s="507" customFormat="1" x14ac:dyDescent="0.2">
      <c r="K291" s="573"/>
    </row>
    <row r="292" spans="11:11" s="507" customFormat="1" x14ac:dyDescent="0.2">
      <c r="K292" s="573"/>
    </row>
    <row r="293" spans="11:11" s="507" customFormat="1" x14ac:dyDescent="0.2">
      <c r="K293" s="573"/>
    </row>
    <row r="294" spans="11:11" s="507" customFormat="1" x14ac:dyDescent="0.2">
      <c r="K294" s="573"/>
    </row>
    <row r="295" spans="11:11" s="507" customFormat="1" x14ac:dyDescent="0.2">
      <c r="K295" s="573"/>
    </row>
    <row r="296" spans="11:11" s="507" customFormat="1" x14ac:dyDescent="0.2">
      <c r="K296" s="573"/>
    </row>
    <row r="297" spans="11:11" s="507" customFormat="1" x14ac:dyDescent="0.2">
      <c r="K297" s="573"/>
    </row>
    <row r="298" spans="11:11" s="507" customFormat="1" x14ac:dyDescent="0.2">
      <c r="K298" s="573"/>
    </row>
    <row r="299" spans="11:11" s="507" customFormat="1" x14ac:dyDescent="0.2">
      <c r="K299" s="573"/>
    </row>
    <row r="300" spans="11:11" s="507" customFormat="1" x14ac:dyDescent="0.2">
      <c r="K300" s="573"/>
    </row>
    <row r="301" spans="11:11" s="507" customFormat="1" x14ac:dyDescent="0.2">
      <c r="K301" s="573"/>
    </row>
    <row r="302" spans="11:11" s="507" customFormat="1" x14ac:dyDescent="0.2">
      <c r="K302" s="573"/>
    </row>
    <row r="303" spans="11:11" s="507" customFormat="1" x14ac:dyDescent="0.2">
      <c r="K303" s="573"/>
    </row>
    <row r="304" spans="11:11" s="507" customFormat="1" x14ac:dyDescent="0.2">
      <c r="K304" s="573"/>
    </row>
    <row r="305" spans="11:11" s="507" customFormat="1" x14ac:dyDescent="0.2">
      <c r="K305" s="573"/>
    </row>
    <row r="306" spans="11:11" s="507" customFormat="1" x14ac:dyDescent="0.2">
      <c r="K306" s="573"/>
    </row>
    <row r="307" spans="11:11" s="507" customFormat="1" x14ac:dyDescent="0.2">
      <c r="K307" s="573"/>
    </row>
    <row r="308" spans="11:11" s="507" customFormat="1" x14ac:dyDescent="0.2">
      <c r="K308" s="573"/>
    </row>
    <row r="309" spans="11:11" s="507" customFormat="1" x14ac:dyDescent="0.2">
      <c r="K309" s="573"/>
    </row>
    <row r="310" spans="11:11" s="507" customFormat="1" x14ac:dyDescent="0.2">
      <c r="K310" s="573"/>
    </row>
    <row r="311" spans="11:11" s="507" customFormat="1" x14ac:dyDescent="0.2">
      <c r="K311" s="573"/>
    </row>
    <row r="312" spans="11:11" s="507" customFormat="1" x14ac:dyDescent="0.2">
      <c r="K312" s="573"/>
    </row>
    <row r="313" spans="11:11" s="507" customFormat="1" x14ac:dyDescent="0.2">
      <c r="K313" s="573"/>
    </row>
    <row r="314" spans="11:11" s="507" customFormat="1" x14ac:dyDescent="0.2">
      <c r="K314" s="573"/>
    </row>
    <row r="315" spans="11:11" s="507" customFormat="1" x14ac:dyDescent="0.2">
      <c r="K315" s="573"/>
    </row>
    <row r="316" spans="11:11" s="507" customFormat="1" x14ac:dyDescent="0.2">
      <c r="K316" s="573"/>
    </row>
    <row r="317" spans="11:11" s="507" customFormat="1" x14ac:dyDescent="0.2">
      <c r="K317" s="573"/>
    </row>
    <row r="318" spans="11:11" s="507" customFormat="1" x14ac:dyDescent="0.2">
      <c r="K318" s="573"/>
    </row>
    <row r="319" spans="11:11" s="507" customFormat="1" x14ac:dyDescent="0.2">
      <c r="K319" s="573"/>
    </row>
    <row r="320" spans="11:11" s="507" customFormat="1" x14ac:dyDescent="0.2">
      <c r="K320" s="573"/>
    </row>
    <row r="321" spans="11:11" s="507" customFormat="1" x14ac:dyDescent="0.2">
      <c r="K321" s="573"/>
    </row>
    <row r="322" spans="11:11" s="507" customFormat="1" x14ac:dyDescent="0.2">
      <c r="K322" s="573"/>
    </row>
    <row r="323" spans="11:11" s="507" customFormat="1" x14ac:dyDescent="0.2">
      <c r="K323" s="573"/>
    </row>
    <row r="324" spans="11:11" s="507" customFormat="1" x14ac:dyDescent="0.2">
      <c r="K324" s="573"/>
    </row>
    <row r="325" spans="11:11" s="507" customFormat="1" x14ac:dyDescent="0.2">
      <c r="K325" s="573"/>
    </row>
    <row r="326" spans="11:11" s="507" customFormat="1" x14ac:dyDescent="0.2">
      <c r="K326" s="573"/>
    </row>
    <row r="327" spans="11:11" s="507" customFormat="1" x14ac:dyDescent="0.2">
      <c r="K327" s="573"/>
    </row>
    <row r="328" spans="11:11" s="507" customFormat="1" x14ac:dyDescent="0.2">
      <c r="K328" s="573"/>
    </row>
    <row r="329" spans="11:11" s="507" customFormat="1" x14ac:dyDescent="0.2">
      <c r="K329" s="573"/>
    </row>
    <row r="330" spans="11:11" s="507" customFormat="1" x14ac:dyDescent="0.2">
      <c r="K330" s="573"/>
    </row>
    <row r="331" spans="11:11" s="507" customFormat="1" x14ac:dyDescent="0.2">
      <c r="K331" s="573"/>
    </row>
    <row r="332" spans="11:11" s="507" customFormat="1" x14ac:dyDescent="0.2">
      <c r="K332" s="573"/>
    </row>
    <row r="333" spans="11:11" s="507" customFormat="1" x14ac:dyDescent="0.2">
      <c r="K333" s="573"/>
    </row>
    <row r="334" spans="11:11" s="507" customFormat="1" x14ac:dyDescent="0.2">
      <c r="K334" s="573"/>
    </row>
    <row r="335" spans="11:11" s="507" customFormat="1" x14ac:dyDescent="0.2">
      <c r="K335" s="573"/>
    </row>
    <row r="336" spans="11:11" s="507" customFormat="1" x14ac:dyDescent="0.2">
      <c r="K336" s="573"/>
    </row>
    <row r="337" spans="11:11" s="507" customFormat="1" x14ac:dyDescent="0.2">
      <c r="K337" s="573"/>
    </row>
    <row r="338" spans="11:11" s="507" customFormat="1" x14ac:dyDescent="0.2">
      <c r="K338" s="573"/>
    </row>
    <row r="339" spans="11:11" s="507" customFormat="1" x14ac:dyDescent="0.2">
      <c r="K339" s="573"/>
    </row>
    <row r="340" spans="11:11" s="507" customFormat="1" x14ac:dyDescent="0.2">
      <c r="K340" s="573"/>
    </row>
    <row r="341" spans="11:11" s="507" customFormat="1" x14ac:dyDescent="0.2">
      <c r="K341" s="573"/>
    </row>
    <row r="342" spans="11:11" s="507" customFormat="1" x14ac:dyDescent="0.2">
      <c r="K342" s="573"/>
    </row>
    <row r="343" spans="11:11" s="507" customFormat="1" x14ac:dyDescent="0.2">
      <c r="K343" s="573"/>
    </row>
    <row r="344" spans="11:11" s="507" customFormat="1" x14ac:dyDescent="0.2">
      <c r="K344" s="573"/>
    </row>
    <row r="345" spans="11:11" s="507" customFormat="1" x14ac:dyDescent="0.2">
      <c r="K345" s="573"/>
    </row>
    <row r="346" spans="11:11" s="507" customFormat="1" x14ac:dyDescent="0.2">
      <c r="K346" s="573"/>
    </row>
    <row r="347" spans="11:11" s="507" customFormat="1" x14ac:dyDescent="0.2">
      <c r="K347" s="573"/>
    </row>
    <row r="348" spans="11:11" s="507" customFormat="1" x14ac:dyDescent="0.2">
      <c r="K348" s="573"/>
    </row>
    <row r="349" spans="11:11" s="507" customFormat="1" x14ac:dyDescent="0.2">
      <c r="K349" s="573"/>
    </row>
    <row r="350" spans="11:11" s="507" customFormat="1" x14ac:dyDescent="0.2">
      <c r="K350" s="573"/>
    </row>
    <row r="351" spans="11:11" s="507" customFormat="1" x14ac:dyDescent="0.2">
      <c r="K351" s="573"/>
    </row>
    <row r="352" spans="11:11" s="507" customFormat="1" x14ac:dyDescent="0.2">
      <c r="K352" s="573"/>
    </row>
    <row r="353" spans="11:11" s="507" customFormat="1" x14ac:dyDescent="0.2">
      <c r="K353" s="573"/>
    </row>
    <row r="354" spans="11:11" s="507" customFormat="1" x14ac:dyDescent="0.2">
      <c r="K354" s="573"/>
    </row>
    <row r="355" spans="11:11" s="507" customFormat="1" x14ac:dyDescent="0.2">
      <c r="K355" s="573"/>
    </row>
    <row r="356" spans="11:11" s="507" customFormat="1" x14ac:dyDescent="0.2">
      <c r="K356" s="573"/>
    </row>
    <row r="357" spans="11:11" s="507" customFormat="1" x14ac:dyDescent="0.2">
      <c r="K357" s="573"/>
    </row>
    <row r="358" spans="11:11" s="507" customFormat="1" x14ac:dyDescent="0.2">
      <c r="K358" s="573"/>
    </row>
    <row r="359" spans="11:11" s="507" customFormat="1" x14ac:dyDescent="0.2">
      <c r="K359" s="573"/>
    </row>
    <row r="360" spans="11:11" s="507" customFormat="1" x14ac:dyDescent="0.2">
      <c r="K360" s="573"/>
    </row>
    <row r="361" spans="11:11" s="507" customFormat="1" x14ac:dyDescent="0.2">
      <c r="K361" s="573"/>
    </row>
    <row r="362" spans="11:11" s="507" customFormat="1" x14ac:dyDescent="0.2">
      <c r="K362" s="573"/>
    </row>
    <row r="363" spans="11:11" s="507" customFormat="1" x14ac:dyDescent="0.2">
      <c r="K363" s="573"/>
    </row>
    <row r="364" spans="11:11" s="507" customFormat="1" x14ac:dyDescent="0.2">
      <c r="K364" s="573"/>
    </row>
    <row r="365" spans="11:11" s="507" customFormat="1" x14ac:dyDescent="0.2">
      <c r="K365" s="573"/>
    </row>
    <row r="366" spans="11:11" s="507" customFormat="1" x14ac:dyDescent="0.2">
      <c r="K366" s="573"/>
    </row>
    <row r="367" spans="11:11" s="507" customFormat="1" x14ac:dyDescent="0.2">
      <c r="K367" s="573"/>
    </row>
    <row r="368" spans="11:11" s="507" customFormat="1" x14ac:dyDescent="0.2">
      <c r="K368" s="573"/>
    </row>
    <row r="369" spans="11:11" s="507" customFormat="1" x14ac:dyDescent="0.2">
      <c r="K369" s="573"/>
    </row>
    <row r="370" spans="11:11" s="507" customFormat="1" x14ac:dyDescent="0.2">
      <c r="K370" s="573"/>
    </row>
    <row r="371" spans="11:11" s="507" customFormat="1" x14ac:dyDescent="0.2">
      <c r="K371" s="573"/>
    </row>
    <row r="372" spans="11:11" s="507" customFormat="1" x14ac:dyDescent="0.2">
      <c r="K372" s="573"/>
    </row>
    <row r="373" spans="11:11" s="507" customFormat="1" x14ac:dyDescent="0.2">
      <c r="K373" s="573"/>
    </row>
    <row r="374" spans="11:11" s="507" customFormat="1" x14ac:dyDescent="0.2">
      <c r="K374" s="573"/>
    </row>
    <row r="375" spans="11:11" s="507" customFormat="1" x14ac:dyDescent="0.2">
      <c r="K375" s="573"/>
    </row>
    <row r="376" spans="11:11" s="507" customFormat="1" x14ac:dyDescent="0.2">
      <c r="K376" s="573"/>
    </row>
    <row r="377" spans="11:11" s="507" customFormat="1" x14ac:dyDescent="0.2">
      <c r="K377" s="573"/>
    </row>
    <row r="378" spans="11:11" s="507" customFormat="1" x14ac:dyDescent="0.2">
      <c r="K378" s="573"/>
    </row>
    <row r="379" spans="11:11" s="507" customFormat="1" x14ac:dyDescent="0.2">
      <c r="K379" s="573"/>
    </row>
    <row r="380" spans="11:11" s="507" customFormat="1" x14ac:dyDescent="0.2">
      <c r="K380" s="573"/>
    </row>
    <row r="381" spans="11:11" s="507" customFormat="1" x14ac:dyDescent="0.2">
      <c r="K381" s="573"/>
    </row>
    <row r="382" spans="11:11" s="507" customFormat="1" x14ac:dyDescent="0.2">
      <c r="K382" s="573"/>
    </row>
    <row r="383" spans="11:11" s="507" customFormat="1" x14ac:dyDescent="0.2">
      <c r="K383" s="573"/>
    </row>
    <row r="384" spans="11:11" s="507" customFormat="1" x14ac:dyDescent="0.2">
      <c r="K384" s="573"/>
    </row>
    <row r="385" spans="11:11" s="507" customFormat="1" x14ac:dyDescent="0.2">
      <c r="K385" s="573"/>
    </row>
    <row r="386" spans="11:11" s="507" customFormat="1" x14ac:dyDescent="0.2">
      <c r="K386" s="573"/>
    </row>
    <row r="387" spans="11:11" s="507" customFormat="1" x14ac:dyDescent="0.2">
      <c r="K387" s="573"/>
    </row>
    <row r="388" spans="11:11" s="507" customFormat="1" x14ac:dyDescent="0.2">
      <c r="K388" s="573"/>
    </row>
    <row r="389" spans="11:11" s="507" customFormat="1" x14ac:dyDescent="0.2">
      <c r="K389" s="573"/>
    </row>
    <row r="390" spans="11:11" s="507" customFormat="1" x14ac:dyDescent="0.2">
      <c r="K390" s="573"/>
    </row>
    <row r="391" spans="11:11" s="507" customFormat="1" x14ac:dyDescent="0.2">
      <c r="K391" s="573"/>
    </row>
    <row r="392" spans="11:11" s="507" customFormat="1" x14ac:dyDescent="0.2">
      <c r="K392" s="573"/>
    </row>
    <row r="393" spans="11:11" s="507" customFormat="1" x14ac:dyDescent="0.2">
      <c r="K393" s="573"/>
    </row>
    <row r="394" spans="11:11" s="507" customFormat="1" x14ac:dyDescent="0.2">
      <c r="K394" s="573"/>
    </row>
    <row r="395" spans="11:11" s="507" customFormat="1" x14ac:dyDescent="0.2">
      <c r="K395" s="573"/>
    </row>
    <row r="396" spans="11:11" s="507" customFormat="1" x14ac:dyDescent="0.2">
      <c r="K396" s="573"/>
    </row>
    <row r="397" spans="11:11" s="507" customFormat="1" x14ac:dyDescent="0.2">
      <c r="K397" s="573"/>
    </row>
    <row r="398" spans="11:11" s="507" customFormat="1" x14ac:dyDescent="0.2">
      <c r="K398" s="573"/>
    </row>
    <row r="399" spans="11:11" s="507" customFormat="1" x14ac:dyDescent="0.2">
      <c r="K399" s="573"/>
    </row>
    <row r="400" spans="11:11" s="507" customFormat="1" x14ac:dyDescent="0.2">
      <c r="K400" s="573"/>
    </row>
    <row r="401" spans="11:11" s="507" customFormat="1" x14ac:dyDescent="0.2">
      <c r="K401" s="573"/>
    </row>
    <row r="402" spans="11:11" s="507" customFormat="1" x14ac:dyDescent="0.2">
      <c r="K402" s="573"/>
    </row>
    <row r="403" spans="11:11" s="507" customFormat="1" x14ac:dyDescent="0.2">
      <c r="K403" s="573"/>
    </row>
    <row r="404" spans="11:11" s="507" customFormat="1" x14ac:dyDescent="0.2">
      <c r="K404" s="573"/>
    </row>
    <row r="405" spans="11:11" s="507" customFormat="1" x14ac:dyDescent="0.2">
      <c r="K405" s="573"/>
    </row>
    <row r="406" spans="11:11" s="507" customFormat="1" x14ac:dyDescent="0.2">
      <c r="K406" s="573"/>
    </row>
    <row r="407" spans="11:11" s="507" customFormat="1" x14ac:dyDescent="0.2">
      <c r="K407" s="573"/>
    </row>
    <row r="408" spans="11:11" s="507" customFormat="1" x14ac:dyDescent="0.2">
      <c r="K408" s="573"/>
    </row>
    <row r="409" spans="11:11" s="507" customFormat="1" x14ac:dyDescent="0.2">
      <c r="K409" s="573"/>
    </row>
    <row r="410" spans="11:11" s="507" customFormat="1" x14ac:dyDescent="0.2">
      <c r="K410" s="573"/>
    </row>
    <row r="411" spans="11:11" s="507" customFormat="1" x14ac:dyDescent="0.2">
      <c r="K411" s="573"/>
    </row>
    <row r="412" spans="11:11" s="507" customFormat="1" x14ac:dyDescent="0.2">
      <c r="K412" s="573"/>
    </row>
    <row r="413" spans="11:11" s="507" customFormat="1" x14ac:dyDescent="0.2">
      <c r="K413" s="573"/>
    </row>
    <row r="414" spans="11:11" s="507" customFormat="1" x14ac:dyDescent="0.2">
      <c r="K414" s="573"/>
    </row>
    <row r="415" spans="11:11" s="507" customFormat="1" x14ac:dyDescent="0.2">
      <c r="K415" s="573"/>
    </row>
    <row r="416" spans="11:11" s="507" customFormat="1" x14ac:dyDescent="0.2">
      <c r="K416" s="573"/>
    </row>
    <row r="417" spans="11:11" s="507" customFormat="1" x14ac:dyDescent="0.2">
      <c r="K417" s="573"/>
    </row>
    <row r="418" spans="11:11" s="507" customFormat="1" x14ac:dyDescent="0.2">
      <c r="K418" s="573"/>
    </row>
    <row r="419" spans="11:11" s="507" customFormat="1" x14ac:dyDescent="0.2">
      <c r="K419" s="573"/>
    </row>
    <row r="420" spans="11:11" s="507" customFormat="1" x14ac:dyDescent="0.2">
      <c r="K420" s="573"/>
    </row>
    <row r="421" spans="11:11" s="507" customFormat="1" x14ac:dyDescent="0.2">
      <c r="K421" s="573"/>
    </row>
    <row r="422" spans="11:11" s="507" customFormat="1" x14ac:dyDescent="0.2">
      <c r="K422" s="573"/>
    </row>
    <row r="423" spans="11:11" s="507" customFormat="1" x14ac:dyDescent="0.2">
      <c r="K423" s="573"/>
    </row>
    <row r="424" spans="11:11" s="507" customFormat="1" x14ac:dyDescent="0.2">
      <c r="K424" s="573"/>
    </row>
    <row r="425" spans="11:11" s="507" customFormat="1" x14ac:dyDescent="0.2">
      <c r="K425" s="573"/>
    </row>
    <row r="426" spans="11:11" s="507" customFormat="1" x14ac:dyDescent="0.2">
      <c r="K426" s="573"/>
    </row>
    <row r="427" spans="11:11" s="507" customFormat="1" x14ac:dyDescent="0.2">
      <c r="K427" s="573"/>
    </row>
    <row r="428" spans="11:11" s="507" customFormat="1" x14ac:dyDescent="0.2">
      <c r="K428" s="573"/>
    </row>
    <row r="429" spans="11:11" s="507" customFormat="1" x14ac:dyDescent="0.2">
      <c r="K429" s="573"/>
    </row>
    <row r="430" spans="11:11" s="507" customFormat="1" x14ac:dyDescent="0.2">
      <c r="K430" s="573"/>
    </row>
    <row r="431" spans="11:11" s="507" customFormat="1" x14ac:dyDescent="0.2">
      <c r="K431" s="573"/>
    </row>
    <row r="432" spans="11:11" s="507" customFormat="1" x14ac:dyDescent="0.2">
      <c r="K432" s="573"/>
    </row>
    <row r="433" spans="11:11" s="507" customFormat="1" x14ac:dyDescent="0.2">
      <c r="K433" s="573"/>
    </row>
    <row r="434" spans="11:11" s="507" customFormat="1" x14ac:dyDescent="0.2">
      <c r="K434" s="573"/>
    </row>
    <row r="435" spans="11:11" s="507" customFormat="1" x14ac:dyDescent="0.2">
      <c r="K435" s="573"/>
    </row>
    <row r="436" spans="11:11" s="507" customFormat="1" x14ac:dyDescent="0.2">
      <c r="K436" s="573"/>
    </row>
    <row r="437" spans="11:11" s="507" customFormat="1" x14ac:dyDescent="0.2">
      <c r="K437" s="573"/>
    </row>
    <row r="438" spans="11:11" s="507" customFormat="1" x14ac:dyDescent="0.2">
      <c r="K438" s="573"/>
    </row>
    <row r="439" spans="11:11" s="507" customFormat="1" x14ac:dyDescent="0.2">
      <c r="K439" s="573"/>
    </row>
    <row r="440" spans="11:11" s="507" customFormat="1" x14ac:dyDescent="0.2">
      <c r="K440" s="573"/>
    </row>
    <row r="441" spans="11:11" s="507" customFormat="1" x14ac:dyDescent="0.2">
      <c r="K441" s="573"/>
    </row>
    <row r="442" spans="11:11" s="507" customFormat="1" x14ac:dyDescent="0.2">
      <c r="K442" s="573"/>
    </row>
    <row r="443" spans="11:11" s="507" customFormat="1" x14ac:dyDescent="0.2">
      <c r="K443" s="573"/>
    </row>
    <row r="444" spans="11:11" s="507" customFormat="1" x14ac:dyDescent="0.2">
      <c r="K444" s="573"/>
    </row>
    <row r="445" spans="11:11" s="507" customFormat="1" x14ac:dyDescent="0.2">
      <c r="K445" s="573"/>
    </row>
    <row r="446" spans="11:11" s="507" customFormat="1" x14ac:dyDescent="0.2">
      <c r="K446" s="573"/>
    </row>
    <row r="447" spans="11:11" s="507" customFormat="1" x14ac:dyDescent="0.2">
      <c r="K447" s="573"/>
    </row>
    <row r="448" spans="11:11" s="507" customFormat="1" x14ac:dyDescent="0.2">
      <c r="K448" s="573"/>
    </row>
    <row r="449" spans="11:11" s="507" customFormat="1" x14ac:dyDescent="0.2">
      <c r="K449" s="573"/>
    </row>
    <row r="450" spans="11:11" s="507" customFormat="1" x14ac:dyDescent="0.2">
      <c r="K450" s="573"/>
    </row>
    <row r="451" spans="11:11" s="507" customFormat="1" x14ac:dyDescent="0.2">
      <c r="K451" s="573"/>
    </row>
    <row r="452" spans="11:11" s="507" customFormat="1" x14ac:dyDescent="0.2">
      <c r="K452" s="573"/>
    </row>
    <row r="453" spans="11:11" s="507" customFormat="1" x14ac:dyDescent="0.2">
      <c r="K453" s="573"/>
    </row>
    <row r="454" spans="11:11" s="507" customFormat="1" x14ac:dyDescent="0.2">
      <c r="K454" s="573"/>
    </row>
    <row r="455" spans="11:11" s="507" customFormat="1" x14ac:dyDescent="0.2">
      <c r="K455" s="573"/>
    </row>
    <row r="456" spans="11:11" s="507" customFormat="1" x14ac:dyDescent="0.2">
      <c r="K456" s="573"/>
    </row>
    <row r="457" spans="11:11" s="507" customFormat="1" x14ac:dyDescent="0.2">
      <c r="K457" s="573"/>
    </row>
    <row r="458" spans="11:11" s="507" customFormat="1" x14ac:dyDescent="0.2">
      <c r="K458" s="573"/>
    </row>
    <row r="459" spans="11:11" s="507" customFormat="1" x14ac:dyDescent="0.2">
      <c r="K459" s="573"/>
    </row>
    <row r="460" spans="11:11" s="507" customFormat="1" x14ac:dyDescent="0.2">
      <c r="K460" s="573"/>
    </row>
    <row r="461" spans="11:11" s="507" customFormat="1" x14ac:dyDescent="0.2">
      <c r="K461" s="573"/>
    </row>
    <row r="462" spans="11:11" s="507" customFormat="1" x14ac:dyDescent="0.2">
      <c r="K462" s="573"/>
    </row>
    <row r="463" spans="11:11" s="507" customFormat="1" x14ac:dyDescent="0.2">
      <c r="K463" s="573"/>
    </row>
    <row r="464" spans="11:11" s="507" customFormat="1" x14ac:dyDescent="0.2">
      <c r="K464" s="573"/>
    </row>
    <row r="465" spans="11:11" s="507" customFormat="1" x14ac:dyDescent="0.2">
      <c r="K465" s="573"/>
    </row>
    <row r="466" spans="11:11" s="507" customFormat="1" x14ac:dyDescent="0.2">
      <c r="K466" s="573"/>
    </row>
    <row r="467" spans="11:11" s="507" customFormat="1" x14ac:dyDescent="0.2">
      <c r="K467" s="573"/>
    </row>
    <row r="468" spans="11:11" s="507" customFormat="1" x14ac:dyDescent="0.2">
      <c r="K468" s="573"/>
    </row>
    <row r="469" spans="11:11" s="507" customFormat="1" x14ac:dyDescent="0.2">
      <c r="K469" s="573"/>
    </row>
    <row r="470" spans="11:11" s="507" customFormat="1" x14ac:dyDescent="0.2">
      <c r="K470" s="573"/>
    </row>
    <row r="471" spans="11:11" s="507" customFormat="1" x14ac:dyDescent="0.2">
      <c r="K471" s="573"/>
    </row>
    <row r="472" spans="11:11" s="507" customFormat="1" x14ac:dyDescent="0.2">
      <c r="K472" s="573"/>
    </row>
    <row r="473" spans="11:11" s="507" customFormat="1" x14ac:dyDescent="0.2">
      <c r="K473" s="573"/>
    </row>
    <row r="474" spans="11:11" s="507" customFormat="1" x14ac:dyDescent="0.2">
      <c r="K474" s="573"/>
    </row>
    <row r="475" spans="11:11" s="507" customFormat="1" x14ac:dyDescent="0.2">
      <c r="K475" s="573"/>
    </row>
    <row r="476" spans="11:11" s="507" customFormat="1" x14ac:dyDescent="0.2">
      <c r="K476" s="573"/>
    </row>
    <row r="477" spans="11:11" s="507" customFormat="1" x14ac:dyDescent="0.2">
      <c r="K477" s="573"/>
    </row>
    <row r="478" spans="11:11" s="507" customFormat="1" x14ac:dyDescent="0.2">
      <c r="K478" s="573"/>
    </row>
    <row r="479" spans="11:11" s="507" customFormat="1" x14ac:dyDescent="0.2">
      <c r="K479" s="573"/>
    </row>
    <row r="480" spans="11:11" s="507" customFormat="1" x14ac:dyDescent="0.2">
      <c r="K480" s="573"/>
    </row>
    <row r="481" spans="11:11" s="507" customFormat="1" x14ac:dyDescent="0.2">
      <c r="K481" s="573"/>
    </row>
    <row r="482" spans="11:11" s="507" customFormat="1" x14ac:dyDescent="0.2">
      <c r="K482" s="573"/>
    </row>
    <row r="483" spans="11:11" s="507" customFormat="1" x14ac:dyDescent="0.2">
      <c r="K483" s="573"/>
    </row>
    <row r="484" spans="11:11" s="507" customFormat="1" x14ac:dyDescent="0.2">
      <c r="K484" s="573"/>
    </row>
    <row r="485" spans="11:11" s="507" customFormat="1" x14ac:dyDescent="0.2">
      <c r="K485" s="573"/>
    </row>
    <row r="486" spans="11:11" s="507" customFormat="1" x14ac:dyDescent="0.2">
      <c r="K486" s="573"/>
    </row>
    <row r="487" spans="11:11" s="507" customFormat="1" x14ac:dyDescent="0.2">
      <c r="K487" s="573"/>
    </row>
  </sheetData>
  <sheetProtection password="E421" sheet="1" objects="1" scenarios="1"/>
  <mergeCells count="136">
    <mergeCell ref="A212:L212"/>
    <mergeCell ref="A213:L214"/>
    <mergeCell ref="D132:E132"/>
    <mergeCell ref="D133:E133"/>
    <mergeCell ref="D134:E134"/>
    <mergeCell ref="A207:L208"/>
    <mergeCell ref="A209:L209"/>
    <mergeCell ref="A210:L211"/>
    <mergeCell ref="D126:E126"/>
    <mergeCell ref="D127:E127"/>
    <mergeCell ref="D128:E128"/>
    <mergeCell ref="D129:E129"/>
    <mergeCell ref="D130:E130"/>
    <mergeCell ref="D131:E131"/>
    <mergeCell ref="G118:M119"/>
    <mergeCell ref="D121:E121"/>
    <mergeCell ref="D122:E122"/>
    <mergeCell ref="D123:E123"/>
    <mergeCell ref="D124:E124"/>
    <mergeCell ref="D125:E125"/>
    <mergeCell ref="B91:C91"/>
    <mergeCell ref="D91:M91"/>
    <mergeCell ref="B92:C92"/>
    <mergeCell ref="D92:M92"/>
    <mergeCell ref="B93:C93"/>
    <mergeCell ref="D93:M93"/>
    <mergeCell ref="D87:M87"/>
    <mergeCell ref="B88:M88"/>
    <mergeCell ref="B89:C89"/>
    <mergeCell ref="D89:M89"/>
    <mergeCell ref="B90:C90"/>
    <mergeCell ref="D90:M90"/>
    <mergeCell ref="B83:M83"/>
    <mergeCell ref="B84:C84"/>
    <mergeCell ref="D84:M84"/>
    <mergeCell ref="B85:C85"/>
    <mergeCell ref="D85:M85"/>
    <mergeCell ref="B86:C86"/>
    <mergeCell ref="D86:M86"/>
    <mergeCell ref="N75:N93"/>
    <mergeCell ref="B76:C76"/>
    <mergeCell ref="D76:M76"/>
    <mergeCell ref="B77:C77"/>
    <mergeCell ref="D77:M77"/>
    <mergeCell ref="B78:M78"/>
    <mergeCell ref="B79:C79"/>
    <mergeCell ref="B67:C67"/>
    <mergeCell ref="D67:M67"/>
    <mergeCell ref="D68:F68"/>
    <mergeCell ref="G68:I68"/>
    <mergeCell ref="D69:F73"/>
    <mergeCell ref="G69:I73"/>
    <mergeCell ref="D79:M79"/>
    <mergeCell ref="B80:C80"/>
    <mergeCell ref="D80:M80"/>
    <mergeCell ref="B81:C81"/>
    <mergeCell ref="D81:M81"/>
    <mergeCell ref="B82:C82"/>
    <mergeCell ref="D82:M82"/>
    <mergeCell ref="B74:C74"/>
    <mergeCell ref="D74:M74"/>
    <mergeCell ref="B75:M75"/>
    <mergeCell ref="B87:C87"/>
    <mergeCell ref="D59:F63"/>
    <mergeCell ref="G59:I63"/>
    <mergeCell ref="B64:C64"/>
    <mergeCell ref="D64:M64"/>
    <mergeCell ref="B65:M65"/>
    <mergeCell ref="B66:C66"/>
    <mergeCell ref="D66:M66"/>
    <mergeCell ref="B55:M55"/>
    <mergeCell ref="B56:C56"/>
    <mergeCell ref="D56:M56"/>
    <mergeCell ref="B57:C57"/>
    <mergeCell ref="D57:M57"/>
    <mergeCell ref="D58:F58"/>
    <mergeCell ref="G58:I58"/>
    <mergeCell ref="D48:F48"/>
    <mergeCell ref="G48:I48"/>
    <mergeCell ref="D49:F53"/>
    <mergeCell ref="G49:I53"/>
    <mergeCell ref="B54:C54"/>
    <mergeCell ref="D54:M54"/>
    <mergeCell ref="B44:C44"/>
    <mergeCell ref="D44:M44"/>
    <mergeCell ref="B45:M45"/>
    <mergeCell ref="B46:C46"/>
    <mergeCell ref="D46:M46"/>
    <mergeCell ref="B47:C47"/>
    <mergeCell ref="D47:M47"/>
    <mergeCell ref="B37:C37"/>
    <mergeCell ref="D37:M37"/>
    <mergeCell ref="D38:F38"/>
    <mergeCell ref="G38:I38"/>
    <mergeCell ref="D39:F43"/>
    <mergeCell ref="G39:I43"/>
    <mergeCell ref="D29:F33"/>
    <mergeCell ref="G29:I33"/>
    <mergeCell ref="B34:C34"/>
    <mergeCell ref="D34:M34"/>
    <mergeCell ref="B35:M35"/>
    <mergeCell ref="B36:C36"/>
    <mergeCell ref="D36:M36"/>
    <mergeCell ref="B23:C23"/>
    <mergeCell ref="B24:C24"/>
    <mergeCell ref="B25:C25"/>
    <mergeCell ref="B27:M27"/>
    <mergeCell ref="D28:F28"/>
    <mergeCell ref="G28:I28"/>
    <mergeCell ref="N15:N22"/>
    <mergeCell ref="B17:C17"/>
    <mergeCell ref="B18:C18"/>
    <mergeCell ref="B19:C19"/>
    <mergeCell ref="B20:C20"/>
    <mergeCell ref="B21:C21"/>
    <mergeCell ref="B22:C22"/>
    <mergeCell ref="B14:M14"/>
    <mergeCell ref="B15:C16"/>
    <mergeCell ref="D15:E15"/>
    <mergeCell ref="F15:G15"/>
    <mergeCell ref="H15:I15"/>
    <mergeCell ref="J15:K15"/>
    <mergeCell ref="L15:M15"/>
    <mergeCell ref="C10:M10"/>
    <mergeCell ref="C11:M11"/>
    <mergeCell ref="N11:N12"/>
    <mergeCell ref="C12:M12"/>
    <mergeCell ref="D13:F13"/>
    <mergeCell ref="G13:I13"/>
    <mergeCell ref="J13:M13"/>
    <mergeCell ref="B1:E1"/>
    <mergeCell ref="F1:M1"/>
    <mergeCell ref="B3:M3"/>
    <mergeCell ref="B4:M4"/>
    <mergeCell ref="B8:M8"/>
    <mergeCell ref="C9:M9"/>
  </mergeCells>
  <conditionalFormatting sqref="F1:M1">
    <cfRule type="containsText" dxfId="276" priority="43" operator="containsText" text="0">
      <formula>NOT(ISERROR(SEARCH("0",F1)))</formula>
    </cfRule>
  </conditionalFormatting>
  <conditionalFormatting sqref="C9:M10">
    <cfRule type="cellIs" dxfId="275" priority="42" operator="lessThanOrEqual">
      <formula>0</formula>
    </cfRule>
  </conditionalFormatting>
  <conditionalFormatting sqref="D79:M80 D84:M85 D90:M91">
    <cfRule type="containsErrors" dxfId="274" priority="41">
      <formula>ISERROR(D79)</formula>
    </cfRule>
  </conditionalFormatting>
  <conditionalFormatting sqref="D79:M79">
    <cfRule type="cellIs" dxfId="273" priority="39" operator="equal">
      <formula>0</formula>
    </cfRule>
  </conditionalFormatting>
  <conditionalFormatting sqref="E77:M77 D76:D77">
    <cfRule type="cellIs" dxfId="272" priority="37" operator="lessThanOrEqual">
      <formula>0</formula>
    </cfRule>
  </conditionalFormatting>
  <conditionalFormatting sqref="D81:M81">
    <cfRule type="cellIs" dxfId="271" priority="36" operator="lessThanOrEqual">
      <formula>0</formula>
    </cfRule>
  </conditionalFormatting>
  <conditionalFormatting sqref="D86:M86">
    <cfRule type="cellIs" dxfId="270" priority="35" operator="lessThanOrEqual">
      <formula>0</formula>
    </cfRule>
  </conditionalFormatting>
  <conditionalFormatting sqref="D92:M92">
    <cfRule type="cellIs" dxfId="269" priority="34" operator="lessThanOrEqual">
      <formula>0</formula>
    </cfRule>
  </conditionalFormatting>
  <conditionalFormatting sqref="C11:M12 D13 J13">
    <cfRule type="containsErrors" dxfId="268" priority="33">
      <formula>ISERROR(C11)</formula>
    </cfRule>
  </conditionalFormatting>
  <conditionalFormatting sqref="C12:M12 D13 J13">
    <cfRule type="cellIs" dxfId="267" priority="32" stopIfTrue="1" operator="lessThanOrEqual">
      <formula>0</formula>
    </cfRule>
  </conditionalFormatting>
  <conditionalFormatting sqref="B143:C152">
    <cfRule type="containsErrors" dxfId="266" priority="17">
      <formula>ISERROR(B143)</formula>
    </cfRule>
  </conditionalFormatting>
  <conditionalFormatting sqref="B153:C156">
    <cfRule type="containsErrors" dxfId="265" priority="16">
      <formula>ISERROR(B153)</formula>
    </cfRule>
  </conditionalFormatting>
  <conditionalFormatting sqref="B157:C160">
    <cfRule type="containsErrors" dxfId="264" priority="15">
      <formula>ISERROR(B157)</formula>
    </cfRule>
  </conditionalFormatting>
  <conditionalFormatting sqref="B161:C164">
    <cfRule type="containsErrors" dxfId="263" priority="14">
      <formula>ISERROR(B161)</formula>
    </cfRule>
  </conditionalFormatting>
  <conditionalFormatting sqref="B165:C168">
    <cfRule type="containsErrors" dxfId="262" priority="13">
      <formula>ISERROR(B165)</formula>
    </cfRule>
  </conditionalFormatting>
  <conditionalFormatting sqref="D29:D34 E29:F33 D54">
    <cfRule type="containsErrors" dxfId="261" priority="12">
      <formula>ISERROR(D29)</formula>
    </cfRule>
  </conditionalFormatting>
  <conditionalFormatting sqref="N43 N33:N34 N53 N63 N73">
    <cfRule type="containsErrors" dxfId="260" priority="11">
      <formula>ISERROR(N33)</formula>
    </cfRule>
  </conditionalFormatting>
  <conditionalFormatting sqref="D74:M74 D64:M64 D54:M54 D44:M44 D34:M34">
    <cfRule type="cellIs" dxfId="259" priority="10" stopIfTrue="1" operator="lessThanOrEqual">
      <formula>0</formula>
    </cfRule>
  </conditionalFormatting>
  <conditionalFormatting sqref="D29:F33">
    <cfRule type="cellIs" dxfId="258" priority="9" operator="lessThanOrEqual">
      <formula>0</formula>
    </cfRule>
  </conditionalFormatting>
  <conditionalFormatting sqref="D39:F43">
    <cfRule type="containsErrors" dxfId="257" priority="8">
      <formula>ISERROR(D39)</formula>
    </cfRule>
  </conditionalFormatting>
  <conditionalFormatting sqref="D39:F43">
    <cfRule type="cellIs" dxfId="256" priority="7" operator="lessThanOrEqual">
      <formula>0</formula>
    </cfRule>
  </conditionalFormatting>
  <conditionalFormatting sqref="D49:F53">
    <cfRule type="containsErrors" dxfId="255" priority="6">
      <formula>ISERROR(D49)</formula>
    </cfRule>
  </conditionalFormatting>
  <conditionalFormatting sqref="D49:F53">
    <cfRule type="cellIs" dxfId="254" priority="5" operator="lessThanOrEqual">
      <formula>0</formula>
    </cfRule>
  </conditionalFormatting>
  <conditionalFormatting sqref="D59:F63">
    <cfRule type="containsErrors" dxfId="253" priority="4">
      <formula>ISERROR(D59)</formula>
    </cfRule>
  </conditionalFormatting>
  <conditionalFormatting sqref="D59:F63">
    <cfRule type="cellIs" dxfId="252" priority="3" operator="lessThanOrEqual">
      <formula>0</formula>
    </cfRule>
  </conditionalFormatting>
  <conditionalFormatting sqref="D69:F73">
    <cfRule type="containsErrors" dxfId="251" priority="2">
      <formula>ISERROR(D69)</formula>
    </cfRule>
  </conditionalFormatting>
  <conditionalFormatting sqref="D69:F73">
    <cfRule type="cellIs" dxfId="250" priority="1" operator="lessThanOrEqual">
      <formula>0</formula>
    </cfRule>
  </conditionalFormatting>
  <dataValidations count="2">
    <dataValidation type="list" allowBlank="1" showInputMessage="1" showErrorMessage="1" sqref="C13" xr:uid="{00000000-0002-0000-1000-000000000000}">
      <formula1>Cistern</formula1>
    </dataValidation>
    <dataValidation type="list" allowBlank="1" showInputMessage="1" showErrorMessage="1" sqref="C29:C33 C69:C73 C59:C63 C49:C53 C39:C43" xr:uid="{00000000-0002-0000-1000-000001000000}">
      <formula1>$B$122:$B$134</formula1>
    </dataValidation>
  </dataValidations>
  <hyperlinks>
    <hyperlink ref="A210:J211" location="'SITE SUMMARY'!A1" display="CONTINUE TO SITE SUMMARY" xr:uid="{00000000-0004-0000-1000-000000000000}"/>
    <hyperlink ref="A213:J214" location="'SITE SUMMARY'!A1" display="CONTINUE TO SITE SUMMARY" xr:uid="{00000000-0004-0000-1000-000001000000}"/>
    <hyperlink ref="A210:L211" location="'BMP SUMMARY'!A1" display="CONTINUE TO BMP SUMMARY" xr:uid="{00000000-0004-0000-1000-000002000000}"/>
    <hyperlink ref="A207:J208" location="'DA2'!A1" display="CLICK TO ADD ANOTHER DRAINAGE AREA" xr:uid="{00000000-0004-0000-1000-000003000000}"/>
    <hyperlink ref="A207:L208" location="DA2_BMPs!A1" display="CLICK TO ADD BMPS TO ANOTHER DRAINAGE AREA" xr:uid="{00000000-0004-0000-1000-000004000000}"/>
  </hyperlinks>
  <printOptions horizontalCentered="1"/>
  <pageMargins left="0.7" right="0.7" top="0.75" bottom="0.75" header="0.3" footer="0.3"/>
  <pageSetup scale="42" fitToHeight="2" orientation="portrait" r:id="rId1"/>
  <headerFooter>
    <oddFooter>&amp;A&amp;RPage &amp;P</oddFooter>
  </headerFooter>
  <rowBreaks count="1" manualBreakCount="1">
    <brk id="54" min="1" max="12" man="1"/>
  </row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030A0"/>
  </sheetPr>
  <dimension ref="A1:AA487"/>
  <sheetViews>
    <sheetView showRowColHeaders="0" zoomScale="70" zoomScaleNormal="70" zoomScalePageLayoutView="55" workbookViewId="0">
      <selection activeCell="C13" sqref="C13"/>
    </sheetView>
  </sheetViews>
  <sheetFormatPr defaultRowHeight="15" x14ac:dyDescent="0.2"/>
  <cols>
    <col min="1" max="1" width="3.77734375" style="507" customWidth="1"/>
    <col min="2" max="2" width="39" style="161" customWidth="1"/>
    <col min="3" max="3" width="42.5546875" style="161" bestFit="1" customWidth="1"/>
    <col min="4" max="10" width="9.77734375" style="161" customWidth="1"/>
    <col min="11" max="11" width="9.77734375" style="398" customWidth="1"/>
    <col min="12" max="13" width="9.77734375" style="161" customWidth="1"/>
    <col min="14" max="14" width="77" style="161" customWidth="1"/>
    <col min="15" max="25" width="8.88671875" style="507"/>
    <col min="26" max="16384" width="8.88671875" style="161"/>
  </cols>
  <sheetData>
    <row r="1" spans="1:25" ht="16.5" customHeight="1" thickBot="1" x14ac:dyDescent="0.3">
      <c r="B1" s="787" t="s">
        <v>31</v>
      </c>
      <c r="C1" s="787"/>
      <c r="D1" s="787"/>
      <c r="E1" s="931"/>
      <c r="F1" s="1107">
        <f>'SITE DATA'!F9</f>
        <v>0</v>
      </c>
      <c r="G1" s="1108"/>
      <c r="H1" s="1108"/>
      <c r="I1" s="1108"/>
      <c r="J1" s="1108"/>
      <c r="K1" s="1108"/>
      <c r="L1" s="1108"/>
      <c r="M1" s="1109"/>
      <c r="N1" s="507"/>
    </row>
    <row r="2" spans="1:25" ht="16.5" customHeight="1" x14ac:dyDescent="0.2">
      <c r="B2" s="575"/>
      <c r="C2" s="575"/>
      <c r="D2" s="575"/>
      <c r="E2" s="575"/>
      <c r="F2" s="575"/>
      <c r="G2" s="575"/>
      <c r="H2" s="575"/>
      <c r="I2" s="575"/>
      <c r="J2" s="575"/>
      <c r="K2" s="237"/>
      <c r="L2" s="575"/>
      <c r="M2" s="575"/>
      <c r="N2" s="507"/>
    </row>
    <row r="3" spans="1:25" ht="16.5" customHeight="1" x14ac:dyDescent="0.25">
      <c r="B3" s="797" t="s">
        <v>399</v>
      </c>
      <c r="C3" s="797"/>
      <c r="D3" s="797"/>
      <c r="E3" s="797"/>
      <c r="F3" s="797"/>
      <c r="G3" s="797"/>
      <c r="H3" s="797"/>
      <c r="I3" s="797"/>
      <c r="J3" s="797"/>
      <c r="K3" s="797"/>
      <c r="L3" s="797"/>
      <c r="M3" s="797"/>
      <c r="N3" s="507"/>
    </row>
    <row r="4" spans="1:25" ht="16.5" customHeight="1" x14ac:dyDescent="0.25">
      <c r="B4" s="797" t="s">
        <v>359</v>
      </c>
      <c r="C4" s="797"/>
      <c r="D4" s="797"/>
      <c r="E4" s="797"/>
      <c r="F4" s="797"/>
      <c r="G4" s="797"/>
      <c r="H4" s="797"/>
      <c r="I4" s="797"/>
      <c r="J4" s="797"/>
      <c r="K4" s="797"/>
      <c r="L4" s="797"/>
      <c r="M4" s="797"/>
      <c r="N4" s="507"/>
    </row>
    <row r="5" spans="1:25" ht="16.5" customHeight="1" x14ac:dyDescent="0.2">
      <c r="B5" s="507"/>
      <c r="C5" s="507"/>
      <c r="D5" s="507"/>
      <c r="E5" s="507"/>
      <c r="F5" s="507"/>
      <c r="G5" s="507"/>
      <c r="H5" s="507"/>
      <c r="I5" s="507"/>
      <c r="J5" s="507"/>
      <c r="K5" s="573"/>
      <c r="L5" s="507"/>
      <c r="M5" s="507"/>
      <c r="N5" s="507"/>
    </row>
    <row r="6" spans="1:25" ht="16.5" customHeight="1" x14ac:dyDescent="0.2">
      <c r="B6" s="507"/>
      <c r="C6" s="507"/>
      <c r="D6" s="366"/>
      <c r="E6" s="366"/>
      <c r="F6" s="366"/>
      <c r="G6" s="305"/>
      <c r="H6" s="305"/>
      <c r="I6" s="366"/>
      <c r="J6" s="366"/>
      <c r="K6" s="367"/>
      <c r="L6" s="507"/>
      <c r="M6" s="507"/>
    </row>
    <row r="7" spans="1:25" ht="16.5" customHeight="1" thickBot="1" x14ac:dyDescent="0.25">
      <c r="B7" s="507"/>
      <c r="C7" s="507"/>
      <c r="D7" s="305"/>
      <c r="E7" s="305"/>
      <c r="F7" s="305"/>
      <c r="G7" s="305"/>
      <c r="H7" s="305"/>
      <c r="I7" s="305"/>
      <c r="J7" s="305"/>
      <c r="K7" s="160"/>
      <c r="L7" s="507"/>
      <c r="M7" s="507"/>
      <c r="N7" s="507"/>
    </row>
    <row r="8" spans="1:25" s="306" customFormat="1" ht="24.95" customHeight="1" thickTop="1" thickBot="1" x14ac:dyDescent="0.25">
      <c r="A8" s="164"/>
      <c r="B8" s="1081" t="s">
        <v>274</v>
      </c>
      <c r="C8" s="1082"/>
      <c r="D8" s="1082"/>
      <c r="E8" s="1082"/>
      <c r="F8" s="1082"/>
      <c r="G8" s="1082"/>
      <c r="H8" s="1082"/>
      <c r="I8" s="1082"/>
      <c r="J8" s="1082"/>
      <c r="K8" s="1082"/>
      <c r="L8" s="1082"/>
      <c r="M8" s="1083"/>
      <c r="N8" s="238" t="s">
        <v>319</v>
      </c>
      <c r="O8" s="164"/>
      <c r="P8" s="164"/>
      <c r="Q8" s="164"/>
      <c r="R8" s="164"/>
      <c r="S8" s="164"/>
      <c r="T8" s="164"/>
      <c r="U8" s="164"/>
      <c r="V8" s="164"/>
      <c r="W8" s="164"/>
      <c r="X8" s="164"/>
      <c r="Y8" s="164"/>
    </row>
    <row r="9" spans="1:25" s="306" customFormat="1" ht="24.95" customHeight="1" thickTop="1" x14ac:dyDescent="0.2">
      <c r="A9" s="164"/>
      <c r="B9" s="241" t="s">
        <v>621</v>
      </c>
      <c r="C9" s="1087">
        <f>'DA4'!H10</f>
        <v>0</v>
      </c>
      <c r="D9" s="1087"/>
      <c r="E9" s="1087"/>
      <c r="F9" s="1087"/>
      <c r="G9" s="1087"/>
      <c r="H9" s="1087"/>
      <c r="I9" s="1087"/>
      <c r="J9" s="1087"/>
      <c r="K9" s="1087"/>
      <c r="L9" s="1087"/>
      <c r="M9" s="1088"/>
      <c r="N9" s="307"/>
      <c r="O9" s="164"/>
      <c r="P9" s="164"/>
      <c r="Q9" s="164"/>
      <c r="R9" s="164"/>
      <c r="S9" s="164"/>
      <c r="T9" s="164"/>
      <c r="U9" s="164"/>
      <c r="V9" s="164"/>
      <c r="W9" s="164"/>
      <c r="X9" s="164"/>
      <c r="Y9" s="164"/>
    </row>
    <row r="10" spans="1:25" s="306" customFormat="1" ht="24.95" customHeight="1" x14ac:dyDescent="0.2">
      <c r="A10" s="164"/>
      <c r="B10" s="241" t="s">
        <v>622</v>
      </c>
      <c r="C10" s="1087">
        <f>'DA4'!H9-'DA4'!H10</f>
        <v>0</v>
      </c>
      <c r="D10" s="1087"/>
      <c r="E10" s="1087"/>
      <c r="F10" s="1087"/>
      <c r="G10" s="1087"/>
      <c r="H10" s="1087"/>
      <c r="I10" s="1087"/>
      <c r="J10" s="1087"/>
      <c r="K10" s="1087"/>
      <c r="L10" s="1087"/>
      <c r="M10" s="1088"/>
      <c r="N10" s="308"/>
      <c r="O10" s="164"/>
      <c r="P10" s="164"/>
      <c r="Q10" s="164"/>
      <c r="R10" s="164"/>
      <c r="S10" s="164"/>
      <c r="T10" s="164"/>
      <c r="U10" s="164"/>
      <c r="V10" s="164"/>
      <c r="W10" s="164"/>
      <c r="X10" s="164"/>
      <c r="Y10" s="164"/>
    </row>
    <row r="11" spans="1:25" s="306" customFormat="1" ht="33" x14ac:dyDescent="0.2">
      <c r="A11" s="164"/>
      <c r="B11" s="286" t="s">
        <v>576</v>
      </c>
      <c r="C11" s="1032" t="e">
        <f>'SITE SUMMARY'!G40</f>
        <v>#VALUE!</v>
      </c>
      <c r="D11" s="1032"/>
      <c r="E11" s="1032"/>
      <c r="F11" s="1032"/>
      <c r="G11" s="1032"/>
      <c r="H11" s="1032"/>
      <c r="I11" s="1032"/>
      <c r="J11" s="1032"/>
      <c r="K11" s="1032"/>
      <c r="L11" s="1032"/>
      <c r="M11" s="1033"/>
      <c r="N11" s="1035" t="s">
        <v>578</v>
      </c>
      <c r="O11" s="164"/>
      <c r="P11" s="164"/>
      <c r="Q11" s="164"/>
      <c r="R11" s="164"/>
      <c r="S11" s="164"/>
      <c r="T11" s="164"/>
      <c r="U11" s="164"/>
      <c r="V11" s="164"/>
      <c r="W11" s="164"/>
      <c r="X11" s="164"/>
      <c r="Y11" s="164"/>
    </row>
    <row r="12" spans="1:25" s="306" customFormat="1" ht="34.5" customHeight="1" x14ac:dyDescent="0.2">
      <c r="A12" s="164"/>
      <c r="B12" s="286" t="s">
        <v>623</v>
      </c>
      <c r="C12" s="1032" t="e">
        <f>IF('SITE SUMMARY'!G35="High",('DA4'!$D$80),0)</f>
        <v>#DIV/0!</v>
      </c>
      <c r="D12" s="1032" t="str">
        <f>IF($G$36="High",('DA1'!$D$80),"NA")</f>
        <v>NA</v>
      </c>
      <c r="E12" s="1032" t="str">
        <f>IF($G$36="High",('DA1'!$D$80),"NA")</f>
        <v>NA</v>
      </c>
      <c r="F12" s="1032" t="str">
        <f>IF($G$36="High",('DA1'!$D$80),"NA")</f>
        <v>NA</v>
      </c>
      <c r="G12" s="1032" t="str">
        <f>IF($G$36="High",('DA1'!$D$80),"NA")</f>
        <v>NA</v>
      </c>
      <c r="H12" s="1032" t="str">
        <f>IF($G$36="High",('DA1'!$D$80),"NA")</f>
        <v>NA</v>
      </c>
      <c r="I12" s="1032" t="str">
        <f>IF($G$36="High",('DA1'!$D$80),"NA")</f>
        <v>NA</v>
      </c>
      <c r="J12" s="1032" t="str">
        <f>IF($G$36="High",('DA1'!$D$80),"NA")</f>
        <v>NA</v>
      </c>
      <c r="K12" s="1032" t="str">
        <f>IF($G$36="High",('DA1'!$D$80),"NA")</f>
        <v>NA</v>
      </c>
      <c r="L12" s="1032" t="str">
        <f>IF($G$36="High",('DA1'!$D$80),"NA")</f>
        <v>NA</v>
      </c>
      <c r="M12" s="1033" t="str">
        <f>IF($G$36="High",('DA1'!$D$80),"NA")</f>
        <v>NA</v>
      </c>
      <c r="N12" s="1035"/>
      <c r="O12" s="164"/>
      <c r="P12" s="164"/>
      <c r="Q12" s="164"/>
      <c r="R12" s="164"/>
      <c r="S12" s="164"/>
      <c r="T12" s="164"/>
      <c r="U12" s="164"/>
      <c r="V12" s="164"/>
      <c r="W12" s="164"/>
      <c r="X12" s="164"/>
      <c r="Y12" s="164"/>
    </row>
    <row r="13" spans="1:25" s="306" customFormat="1" ht="60" x14ac:dyDescent="0.2">
      <c r="A13" s="164"/>
      <c r="B13" s="286" t="s">
        <v>583</v>
      </c>
      <c r="C13" s="364"/>
      <c r="D13" s="1038" t="s">
        <v>565</v>
      </c>
      <c r="E13" s="1039"/>
      <c r="F13" s="1039"/>
      <c r="G13" s="1026"/>
      <c r="H13" s="1027"/>
      <c r="I13" s="1028"/>
      <c r="J13" s="1029" t="s">
        <v>574</v>
      </c>
      <c r="K13" s="1030"/>
      <c r="L13" s="1030"/>
      <c r="M13" s="1031"/>
      <c r="N13" s="608" t="s">
        <v>624</v>
      </c>
      <c r="O13" s="164"/>
      <c r="P13" s="164"/>
      <c r="Q13" s="164"/>
      <c r="R13" s="164"/>
      <c r="S13" s="164"/>
      <c r="T13" s="164"/>
      <c r="U13" s="164"/>
      <c r="V13" s="164"/>
      <c r="W13" s="164"/>
      <c r="X13" s="164"/>
      <c r="Y13" s="164"/>
    </row>
    <row r="14" spans="1:25" s="306" customFormat="1" ht="24.95" customHeight="1" x14ac:dyDescent="0.2">
      <c r="A14" s="164"/>
      <c r="B14" s="1084" t="s">
        <v>320</v>
      </c>
      <c r="C14" s="1085"/>
      <c r="D14" s="1085"/>
      <c r="E14" s="1085"/>
      <c r="F14" s="1085"/>
      <c r="G14" s="1085"/>
      <c r="H14" s="1085"/>
      <c r="I14" s="1085"/>
      <c r="J14" s="1085"/>
      <c r="K14" s="1085"/>
      <c r="L14" s="1085"/>
      <c r="M14" s="1086"/>
      <c r="N14" s="368"/>
      <c r="O14" s="369"/>
      <c r="P14" s="369"/>
      <c r="Q14" s="369"/>
      <c r="R14" s="369"/>
      <c r="S14" s="369"/>
      <c r="T14" s="369"/>
      <c r="U14" s="164"/>
      <c r="V14" s="164"/>
      <c r="W14" s="164"/>
      <c r="X14" s="164"/>
      <c r="Y14" s="164"/>
    </row>
    <row r="15" spans="1:25" s="327" customFormat="1" ht="35.1" customHeight="1" x14ac:dyDescent="0.2">
      <c r="A15" s="326"/>
      <c r="B15" s="1089" t="s">
        <v>273</v>
      </c>
      <c r="C15" s="1090"/>
      <c r="D15" s="1093" t="s">
        <v>625</v>
      </c>
      <c r="E15" s="1093"/>
      <c r="F15" s="1093" t="s">
        <v>626</v>
      </c>
      <c r="G15" s="1093"/>
      <c r="H15" s="1093" t="s">
        <v>627</v>
      </c>
      <c r="I15" s="1093"/>
      <c r="J15" s="1093" t="s">
        <v>628</v>
      </c>
      <c r="K15" s="1093"/>
      <c r="L15" s="1093" t="s">
        <v>629</v>
      </c>
      <c r="M15" s="1115"/>
      <c r="N15" s="1119" t="s">
        <v>741</v>
      </c>
      <c r="O15" s="326"/>
      <c r="P15" s="326"/>
      <c r="Q15" s="326"/>
      <c r="R15" s="326"/>
      <c r="S15" s="326"/>
      <c r="T15" s="326"/>
      <c r="U15" s="326"/>
      <c r="V15" s="326"/>
      <c r="W15" s="326"/>
      <c r="X15" s="326"/>
      <c r="Y15" s="326"/>
    </row>
    <row r="16" spans="1:25" s="327" customFormat="1" x14ac:dyDescent="0.2">
      <c r="A16" s="326"/>
      <c r="B16" s="1089"/>
      <c r="C16" s="1090"/>
      <c r="D16" s="131" t="s">
        <v>281</v>
      </c>
      <c r="E16" s="131" t="s">
        <v>282</v>
      </c>
      <c r="F16" s="131" t="s">
        <v>281</v>
      </c>
      <c r="G16" s="131" t="s">
        <v>282</v>
      </c>
      <c r="H16" s="131" t="s">
        <v>281</v>
      </c>
      <c r="I16" s="131" t="s">
        <v>282</v>
      </c>
      <c r="J16" s="131" t="s">
        <v>281</v>
      </c>
      <c r="K16" s="131" t="s">
        <v>282</v>
      </c>
      <c r="L16" s="131" t="s">
        <v>281</v>
      </c>
      <c r="M16" s="240" t="s">
        <v>282</v>
      </c>
      <c r="N16" s="1119"/>
      <c r="O16" s="326"/>
      <c r="P16" s="326"/>
      <c r="Q16" s="326"/>
      <c r="R16" s="326"/>
      <c r="S16" s="326"/>
      <c r="T16" s="326"/>
      <c r="U16" s="326"/>
      <c r="V16" s="326"/>
      <c r="W16" s="326"/>
      <c r="X16" s="326"/>
      <c r="Y16" s="326"/>
    </row>
    <row r="17" spans="1:25" s="327" customFormat="1" ht="24.95" customHeight="1" x14ac:dyDescent="0.2">
      <c r="A17" s="326"/>
      <c r="B17" s="1091" t="s">
        <v>12</v>
      </c>
      <c r="C17" s="1092"/>
      <c r="D17" s="364"/>
      <c r="E17" s="364"/>
      <c r="F17" s="364"/>
      <c r="G17" s="364"/>
      <c r="H17" s="364"/>
      <c r="I17" s="364"/>
      <c r="J17" s="364"/>
      <c r="K17" s="364"/>
      <c r="L17" s="364"/>
      <c r="M17" s="365"/>
      <c r="N17" s="1119"/>
      <c r="O17" s="326"/>
      <c r="P17" s="326"/>
      <c r="Q17" s="326"/>
      <c r="R17" s="326"/>
      <c r="S17" s="326"/>
      <c r="T17" s="326"/>
      <c r="U17" s="326"/>
      <c r="V17" s="326"/>
      <c r="W17" s="326"/>
      <c r="X17" s="326"/>
      <c r="Y17" s="326"/>
    </row>
    <row r="18" spans="1:25" s="327" customFormat="1" ht="24.95" customHeight="1" x14ac:dyDescent="0.2">
      <c r="A18" s="326"/>
      <c r="B18" s="1091" t="s">
        <v>253</v>
      </c>
      <c r="C18" s="1092"/>
      <c r="D18" s="364"/>
      <c r="E18" s="364"/>
      <c r="F18" s="364"/>
      <c r="G18" s="364"/>
      <c r="H18" s="364"/>
      <c r="I18" s="364"/>
      <c r="J18" s="364"/>
      <c r="K18" s="364"/>
      <c r="L18" s="364"/>
      <c r="M18" s="365"/>
      <c r="N18" s="1119"/>
      <c r="O18" s="326"/>
      <c r="P18" s="326"/>
      <c r="Q18" s="326"/>
      <c r="R18" s="326"/>
      <c r="S18" s="326"/>
      <c r="T18" s="326"/>
      <c r="U18" s="326"/>
      <c r="V18" s="326"/>
      <c r="W18" s="326"/>
      <c r="X18" s="326"/>
      <c r="Y18" s="326"/>
    </row>
    <row r="19" spans="1:25" s="327" customFormat="1" ht="24.95" customHeight="1" x14ac:dyDescent="0.2">
      <c r="A19" s="326"/>
      <c r="B19" s="1091" t="s">
        <v>260</v>
      </c>
      <c r="C19" s="1092"/>
      <c r="D19" s="364"/>
      <c r="E19" s="364"/>
      <c r="F19" s="364"/>
      <c r="G19" s="364"/>
      <c r="H19" s="364"/>
      <c r="I19" s="364"/>
      <c r="J19" s="364"/>
      <c r="K19" s="364"/>
      <c r="L19" s="364"/>
      <c r="M19" s="365"/>
      <c r="N19" s="1119"/>
      <c r="O19" s="326"/>
      <c r="P19" s="326"/>
      <c r="Q19" s="326"/>
      <c r="R19" s="326"/>
      <c r="S19" s="326"/>
      <c r="T19" s="326"/>
      <c r="U19" s="326"/>
      <c r="V19" s="326"/>
      <c r="W19" s="326"/>
      <c r="X19" s="326"/>
      <c r="Y19" s="326"/>
    </row>
    <row r="20" spans="1:25" s="327" customFormat="1" ht="24.95" customHeight="1" x14ac:dyDescent="0.2">
      <c r="A20" s="326"/>
      <c r="B20" s="1091" t="s">
        <v>254</v>
      </c>
      <c r="C20" s="1092"/>
      <c r="D20" s="364"/>
      <c r="E20" s="364"/>
      <c r="F20" s="364"/>
      <c r="G20" s="364"/>
      <c r="H20" s="364"/>
      <c r="I20" s="364"/>
      <c r="J20" s="364"/>
      <c r="K20" s="364"/>
      <c r="L20" s="364"/>
      <c r="M20" s="365"/>
      <c r="N20" s="1119"/>
      <c r="O20" s="326"/>
      <c r="P20" s="326"/>
      <c r="Q20" s="326"/>
      <c r="R20" s="326"/>
      <c r="S20" s="326"/>
      <c r="T20" s="326"/>
      <c r="U20" s="326"/>
      <c r="V20" s="326"/>
      <c r="W20" s="326"/>
      <c r="X20" s="326"/>
      <c r="Y20" s="326"/>
    </row>
    <row r="21" spans="1:25" s="327" customFormat="1" ht="24.95" customHeight="1" x14ac:dyDescent="0.2">
      <c r="A21" s="326"/>
      <c r="B21" s="1091" t="s">
        <v>255</v>
      </c>
      <c r="C21" s="1092"/>
      <c r="D21" s="364"/>
      <c r="E21" s="364"/>
      <c r="F21" s="364"/>
      <c r="G21" s="364"/>
      <c r="H21" s="364"/>
      <c r="I21" s="364"/>
      <c r="J21" s="364"/>
      <c r="K21" s="364"/>
      <c r="L21" s="364"/>
      <c r="M21" s="365"/>
      <c r="N21" s="1119"/>
      <c r="O21" s="326"/>
      <c r="P21" s="326"/>
      <c r="Q21" s="326"/>
      <c r="R21" s="326"/>
      <c r="S21" s="326"/>
      <c r="T21" s="326"/>
      <c r="U21" s="326"/>
      <c r="V21" s="326"/>
      <c r="W21" s="326"/>
      <c r="X21" s="326"/>
      <c r="Y21" s="326"/>
    </row>
    <row r="22" spans="1:25" ht="24.95" customHeight="1" x14ac:dyDescent="0.2">
      <c r="B22" s="1091" t="s">
        <v>256</v>
      </c>
      <c r="C22" s="1092"/>
      <c r="D22" s="364"/>
      <c r="E22" s="364"/>
      <c r="F22" s="364"/>
      <c r="G22" s="364"/>
      <c r="H22" s="364"/>
      <c r="I22" s="364"/>
      <c r="J22" s="364"/>
      <c r="K22" s="364"/>
      <c r="L22" s="364"/>
      <c r="M22" s="365"/>
      <c r="N22" s="1119"/>
    </row>
    <row r="23" spans="1:25" ht="24.95" customHeight="1" x14ac:dyDescent="0.2">
      <c r="B23" s="1091" t="s">
        <v>257</v>
      </c>
      <c r="C23" s="1092"/>
      <c r="D23" s="364"/>
      <c r="E23" s="364"/>
      <c r="F23" s="364"/>
      <c r="G23" s="364"/>
      <c r="H23" s="364"/>
      <c r="I23" s="364"/>
      <c r="J23" s="364"/>
      <c r="K23" s="364"/>
      <c r="L23" s="364"/>
      <c r="M23" s="365"/>
      <c r="N23" s="370"/>
    </row>
    <row r="24" spans="1:25" ht="24.95" customHeight="1" x14ac:dyDescent="0.2">
      <c r="B24" s="1091" t="s">
        <v>245</v>
      </c>
      <c r="C24" s="1092"/>
      <c r="D24" s="364"/>
      <c r="E24" s="364"/>
      <c r="F24" s="364"/>
      <c r="G24" s="364"/>
      <c r="H24" s="364"/>
      <c r="I24" s="364"/>
      <c r="J24" s="364"/>
      <c r="K24" s="364"/>
      <c r="L24" s="364"/>
      <c r="M24" s="365"/>
      <c r="N24" s="370"/>
    </row>
    <row r="25" spans="1:25" ht="24.95" customHeight="1" x14ac:dyDescent="0.2">
      <c r="B25" s="1091" t="s">
        <v>44</v>
      </c>
      <c r="C25" s="1092"/>
      <c r="D25" s="364"/>
      <c r="E25" s="364"/>
      <c r="F25" s="364"/>
      <c r="G25" s="364"/>
      <c r="H25" s="364"/>
      <c r="I25" s="364"/>
      <c r="J25" s="364"/>
      <c r="K25" s="364"/>
      <c r="L25" s="364"/>
      <c r="M25" s="365"/>
      <c r="N25" s="446" t="str">
        <f>IF(SUM( D17:D25,F17:F25,H17:H25,J17:J25,L17:L25)=C9,"","DOES NOT MATCH SITE ACREAGES")</f>
        <v/>
      </c>
    </row>
    <row r="26" spans="1:25" s="373" customFormat="1" ht="15.75" hidden="1" x14ac:dyDescent="0.25">
      <c r="A26" s="574"/>
      <c r="B26" s="371" t="s">
        <v>291</v>
      </c>
      <c r="C26" s="372"/>
      <c r="D26" s="315">
        <f>SUM(D17:D25)</f>
        <v>0</v>
      </c>
      <c r="E26" s="315">
        <f t="shared" ref="E26:M26" si="0">SUM(E17:E25)</f>
        <v>0</v>
      </c>
      <c r="F26" s="315">
        <f t="shared" si="0"/>
        <v>0</v>
      </c>
      <c r="G26" s="315">
        <f t="shared" si="0"/>
        <v>0</v>
      </c>
      <c r="H26" s="315">
        <f t="shared" si="0"/>
        <v>0</v>
      </c>
      <c r="I26" s="315">
        <f t="shared" si="0"/>
        <v>0</v>
      </c>
      <c r="J26" s="315">
        <f t="shared" si="0"/>
        <v>0</v>
      </c>
      <c r="K26" s="315">
        <f t="shared" si="0"/>
        <v>0</v>
      </c>
      <c r="L26" s="315">
        <f t="shared" si="0"/>
        <v>0</v>
      </c>
      <c r="M26" s="316">
        <f t="shared" si="0"/>
        <v>0</v>
      </c>
      <c r="N26" s="330"/>
      <c r="O26" s="574"/>
      <c r="P26" s="574"/>
      <c r="Q26" s="574"/>
      <c r="R26" s="574"/>
      <c r="S26" s="574"/>
      <c r="T26" s="574"/>
      <c r="U26" s="574"/>
      <c r="V26" s="574"/>
      <c r="W26" s="574"/>
      <c r="X26" s="574"/>
      <c r="Y26" s="574"/>
    </row>
    <row r="27" spans="1:25" s="306" customFormat="1" ht="15.75" x14ac:dyDescent="0.2">
      <c r="A27" s="164"/>
      <c r="B27" s="953" t="s">
        <v>286</v>
      </c>
      <c r="C27" s="954"/>
      <c r="D27" s="954"/>
      <c r="E27" s="954"/>
      <c r="F27" s="954"/>
      <c r="G27" s="954"/>
      <c r="H27" s="954"/>
      <c r="I27" s="954"/>
      <c r="J27" s="954"/>
      <c r="K27" s="954"/>
      <c r="L27" s="954"/>
      <c r="M27" s="955"/>
      <c r="N27" s="324"/>
      <c r="O27" s="164"/>
      <c r="P27" s="164"/>
      <c r="Q27" s="164"/>
      <c r="R27" s="164"/>
      <c r="S27" s="164"/>
      <c r="T27" s="164"/>
      <c r="U27" s="164"/>
      <c r="V27" s="164"/>
      <c r="W27" s="164"/>
      <c r="X27" s="164"/>
      <c r="Y27" s="164"/>
    </row>
    <row r="28" spans="1:25" s="507" customFormat="1" ht="79.5" customHeight="1" x14ac:dyDescent="0.2">
      <c r="B28" s="374" t="s">
        <v>318</v>
      </c>
      <c r="C28" s="375" t="s">
        <v>284</v>
      </c>
      <c r="D28" s="1034" t="s">
        <v>568</v>
      </c>
      <c r="E28" s="1034"/>
      <c r="F28" s="1034"/>
      <c r="G28" s="1040" t="s">
        <v>567</v>
      </c>
      <c r="H28" s="1041"/>
      <c r="I28" s="1042"/>
      <c r="J28" s="631" t="s">
        <v>269</v>
      </c>
      <c r="K28" s="631" t="s">
        <v>491</v>
      </c>
      <c r="L28" s="631" t="s">
        <v>492</v>
      </c>
      <c r="M28" s="376" t="s">
        <v>322</v>
      </c>
      <c r="N28" s="377" t="s">
        <v>321</v>
      </c>
    </row>
    <row r="29" spans="1:25" ht="24.95" customHeight="1" x14ac:dyDescent="0.2">
      <c r="B29" s="562"/>
      <c r="C29" s="400"/>
      <c r="D29" s="1043" t="e">
        <f>IF('SITE SUMMARY'!$G$35="High",E151,"-")</f>
        <v>#DIV/0!</v>
      </c>
      <c r="E29" s="1044"/>
      <c r="F29" s="1045"/>
      <c r="G29" s="1120"/>
      <c r="H29" s="1121"/>
      <c r="I29" s="1122"/>
      <c r="J29" s="378">
        <f>IF(ISERROR(VLOOKUP(C29,BMP,2,FALSE)),0,VLOOKUP(C29,BMP,2,FALSE))</f>
        <v>0</v>
      </c>
      <c r="K29" s="625">
        <f>IF(ISERROR($E$114),0,$E$114)</f>
        <v>0</v>
      </c>
      <c r="L29" s="625">
        <f>IF(ISERROR(K29*J29),0,K29*J29)</f>
        <v>0</v>
      </c>
      <c r="M29" s="401"/>
      <c r="N29" s="377"/>
      <c r="O29" s="379"/>
      <c r="P29" s="379"/>
      <c r="Q29" s="379"/>
      <c r="R29" s="379"/>
      <c r="S29" s="379"/>
      <c r="T29" s="379"/>
    </row>
    <row r="30" spans="1:25" ht="24.95" customHeight="1" x14ac:dyDescent="0.2">
      <c r="B30" s="563"/>
      <c r="C30" s="400"/>
      <c r="D30" s="1046"/>
      <c r="E30" s="1047"/>
      <c r="F30" s="1048"/>
      <c r="G30" s="1123"/>
      <c r="H30" s="1124"/>
      <c r="I30" s="1125"/>
      <c r="J30" s="378">
        <f>IF(ISERROR(VLOOKUP(C30,BMP,2,FALSE)),0,VLOOKUP(C30,BMP,2,FALSE))</f>
        <v>0</v>
      </c>
      <c r="K30" s="625">
        <f>IF(ISERROR(K29-L29),0,K29-L29)</f>
        <v>0</v>
      </c>
      <c r="L30" s="625">
        <f>IF(ISERROR(K30*J30),0,K30*J30)</f>
        <v>0</v>
      </c>
      <c r="M30" s="401"/>
      <c r="N30" s="380"/>
    </row>
    <row r="31" spans="1:25" ht="24.95" customHeight="1" x14ac:dyDescent="0.2">
      <c r="B31" s="563"/>
      <c r="C31" s="400"/>
      <c r="D31" s="1046"/>
      <c r="E31" s="1047"/>
      <c r="F31" s="1048"/>
      <c r="G31" s="1123"/>
      <c r="H31" s="1124"/>
      <c r="I31" s="1125"/>
      <c r="J31" s="378">
        <f>IF(ISERROR(VLOOKUP(C31,BMP,2,FALSE)),0,VLOOKUP(C31,BMP,2,FALSE))</f>
        <v>0</v>
      </c>
      <c r="K31" s="625">
        <f>IF(ISERROR(K30-L30),0,K30-L30)</f>
        <v>0</v>
      </c>
      <c r="L31" s="625">
        <f>IF(ISERROR(K31*J31),0,K31*J31)</f>
        <v>0</v>
      </c>
      <c r="M31" s="401"/>
      <c r="N31" s="380"/>
    </row>
    <row r="32" spans="1:25" ht="24.95" customHeight="1" x14ac:dyDescent="0.2">
      <c r="B32" s="563"/>
      <c r="C32" s="400"/>
      <c r="D32" s="1046"/>
      <c r="E32" s="1047"/>
      <c r="F32" s="1048"/>
      <c r="G32" s="1123"/>
      <c r="H32" s="1124"/>
      <c r="I32" s="1125"/>
      <c r="J32" s="378">
        <f>IF(ISERROR(VLOOKUP(C32,BMP,2,FALSE)),0,VLOOKUP(C32,BMP,2,FALSE))</f>
        <v>0</v>
      </c>
      <c r="K32" s="625">
        <f>IF(ISERROR(K31-L31),0,K31-L31)</f>
        <v>0</v>
      </c>
      <c r="L32" s="625">
        <f>IF(ISERROR(K32*J32),0,K32*J32)</f>
        <v>0</v>
      </c>
      <c r="M32" s="401"/>
      <c r="N32" s="380"/>
    </row>
    <row r="33" spans="1:25" ht="24.95" customHeight="1" x14ac:dyDescent="0.2">
      <c r="B33" s="563"/>
      <c r="C33" s="400"/>
      <c r="D33" s="1049"/>
      <c r="E33" s="1050"/>
      <c r="F33" s="1051"/>
      <c r="G33" s="1126"/>
      <c r="H33" s="1127"/>
      <c r="I33" s="1128"/>
      <c r="J33" s="378">
        <f>IF(ISERROR(VLOOKUP(C33,BMP,2,FALSE)),0,VLOOKUP(C33,BMP,2,FALSE))</f>
        <v>0</v>
      </c>
      <c r="K33" s="625">
        <f>IF(ISERROR(K32-L32),0,K32-L32)</f>
        <v>0</v>
      </c>
      <c r="L33" s="625">
        <f>IF(ISERROR(K33*J33),0,K33*J33)</f>
        <v>0</v>
      </c>
      <c r="M33" s="401"/>
      <c r="N33" s="381"/>
    </row>
    <row r="34" spans="1:25" ht="24.95" customHeight="1" x14ac:dyDescent="0.2">
      <c r="B34" s="1052" t="s">
        <v>371</v>
      </c>
      <c r="C34" s="1053"/>
      <c r="D34" s="1054">
        <f>IF(J33&gt;0,K306-L33,IF(J32&gt;0,K32-L32,IF(J31&gt;0,K31-L31,IF(J30&gt;0,K30-L30,K29-L29))))</f>
        <v>0</v>
      </c>
      <c r="E34" s="1055"/>
      <c r="F34" s="1055"/>
      <c r="G34" s="1055"/>
      <c r="H34" s="1055"/>
      <c r="I34" s="1055"/>
      <c r="J34" s="1055"/>
      <c r="K34" s="1055"/>
      <c r="L34" s="1055"/>
      <c r="M34" s="1056"/>
      <c r="N34" s="382"/>
    </row>
    <row r="35" spans="1:25" s="306" customFormat="1" ht="24.95" customHeight="1" x14ac:dyDescent="0.2">
      <c r="A35" s="164"/>
      <c r="B35" s="953" t="s">
        <v>285</v>
      </c>
      <c r="C35" s="954"/>
      <c r="D35" s="954"/>
      <c r="E35" s="954"/>
      <c r="F35" s="954"/>
      <c r="G35" s="954"/>
      <c r="H35" s="954"/>
      <c r="I35" s="954"/>
      <c r="J35" s="954"/>
      <c r="K35" s="954"/>
      <c r="L35" s="954"/>
      <c r="M35" s="955"/>
      <c r="N35" s="382"/>
      <c r="O35" s="164"/>
      <c r="P35" s="164"/>
      <c r="Q35" s="164"/>
      <c r="R35" s="164"/>
      <c r="S35" s="164"/>
      <c r="T35" s="164"/>
      <c r="U35" s="164"/>
      <c r="V35" s="164"/>
      <c r="W35" s="164"/>
      <c r="X35" s="164"/>
      <c r="Y35" s="164"/>
    </row>
    <row r="36" spans="1:25" s="507" customFormat="1" ht="39.75" customHeight="1" x14ac:dyDescent="0.2">
      <c r="B36" s="1019" t="s">
        <v>584</v>
      </c>
      <c r="C36" s="1020"/>
      <c r="D36" s="1057"/>
      <c r="E36" s="1058"/>
      <c r="F36" s="1058"/>
      <c r="G36" s="1058"/>
      <c r="H36" s="1058"/>
      <c r="I36" s="1058"/>
      <c r="J36" s="1058"/>
      <c r="K36" s="1058"/>
      <c r="L36" s="1058"/>
      <c r="M36" s="1059"/>
      <c r="N36" s="382"/>
    </row>
    <row r="37" spans="1:25" s="507" customFormat="1" ht="39.75" hidden="1" customHeight="1" x14ac:dyDescent="0.2">
      <c r="B37" s="1019" t="s">
        <v>585</v>
      </c>
      <c r="C37" s="1020"/>
      <c r="D37" s="1129"/>
      <c r="E37" s="1130"/>
      <c r="F37" s="1130"/>
      <c r="G37" s="1130"/>
      <c r="H37" s="1130"/>
      <c r="I37" s="1130"/>
      <c r="J37" s="1130"/>
      <c r="K37" s="1130"/>
      <c r="L37" s="1130"/>
      <c r="M37" s="1131"/>
      <c r="N37" s="382"/>
    </row>
    <row r="38" spans="1:25" s="507" customFormat="1" ht="79.5" customHeight="1" x14ac:dyDescent="0.2">
      <c r="B38" s="374" t="s">
        <v>318</v>
      </c>
      <c r="C38" s="375" t="s">
        <v>284</v>
      </c>
      <c r="D38" s="1034" t="s">
        <v>568</v>
      </c>
      <c r="E38" s="1034"/>
      <c r="F38" s="1034"/>
      <c r="G38" s="1034" t="s">
        <v>490</v>
      </c>
      <c r="H38" s="1034"/>
      <c r="I38" s="1034"/>
      <c r="J38" s="631" t="s">
        <v>269</v>
      </c>
      <c r="K38" s="631" t="s">
        <v>491</v>
      </c>
      <c r="L38" s="631" t="s">
        <v>492</v>
      </c>
      <c r="M38" s="376" t="s">
        <v>322</v>
      </c>
      <c r="N38" s="382"/>
    </row>
    <row r="39" spans="1:25" ht="24.95" customHeight="1" x14ac:dyDescent="0.2">
      <c r="B39" s="399"/>
      <c r="C39" s="400"/>
      <c r="D39" s="1043" t="e">
        <f>IF('SITE SUMMARY'!$G$35="High",E155,"-")</f>
        <v>#DIV/0!</v>
      </c>
      <c r="E39" s="1044"/>
      <c r="F39" s="1045"/>
      <c r="G39" s="1060"/>
      <c r="H39" s="1061"/>
      <c r="I39" s="1062"/>
      <c r="J39" s="378">
        <f>IF(ISERROR(VLOOKUP(C39,BMP,2,FALSE)),0,VLOOKUP(C39,BMP,2,FALSE))</f>
        <v>0</v>
      </c>
      <c r="K39" s="625">
        <f>IF(ISERROR($F$114),D36,$F$114+D36)</f>
        <v>0</v>
      </c>
      <c r="L39" s="625">
        <f>IF(ISERROR(K39*J39),0,K39*J39)</f>
        <v>0</v>
      </c>
      <c r="M39" s="401"/>
      <c r="N39" s="382"/>
      <c r="O39" s="379"/>
      <c r="P39" s="379"/>
      <c r="Q39" s="379"/>
      <c r="R39" s="379"/>
      <c r="S39" s="379"/>
      <c r="T39" s="379"/>
    </row>
    <row r="40" spans="1:25" ht="24.95" customHeight="1" x14ac:dyDescent="0.2">
      <c r="B40" s="399"/>
      <c r="C40" s="400"/>
      <c r="D40" s="1046"/>
      <c r="E40" s="1047"/>
      <c r="F40" s="1048"/>
      <c r="G40" s="1063"/>
      <c r="H40" s="1064"/>
      <c r="I40" s="1065"/>
      <c r="J40" s="378">
        <f>IF(ISERROR(VLOOKUP(C40,BMP,2,FALSE)),0,VLOOKUP(C40,BMP,2,FALSE))</f>
        <v>0</v>
      </c>
      <c r="K40" s="625">
        <f>IF(ISERROR(K39-L39),0,K39-L39)</f>
        <v>0</v>
      </c>
      <c r="L40" s="625">
        <f>IF(ISERROR(K40*J40),0,K40*J40)</f>
        <v>0</v>
      </c>
      <c r="M40" s="401"/>
      <c r="N40" s="382"/>
    </row>
    <row r="41" spans="1:25" ht="24.75" customHeight="1" x14ac:dyDescent="0.2">
      <c r="B41" s="399"/>
      <c r="C41" s="400"/>
      <c r="D41" s="1046"/>
      <c r="E41" s="1047"/>
      <c r="F41" s="1048"/>
      <c r="G41" s="1063"/>
      <c r="H41" s="1064"/>
      <c r="I41" s="1065"/>
      <c r="J41" s="378">
        <f>IF(ISERROR(VLOOKUP(C41,BMP,2,FALSE)),0,VLOOKUP(C41,BMP,2,FALSE))</f>
        <v>0</v>
      </c>
      <c r="K41" s="625">
        <f>IF(ISERROR(K40-L40),0,K40-L40)</f>
        <v>0</v>
      </c>
      <c r="L41" s="625">
        <f>IF(ISERROR(K41*J41),0,K41*J41)</f>
        <v>0</v>
      </c>
      <c r="M41" s="401"/>
      <c r="N41" s="382"/>
    </row>
    <row r="42" spans="1:25" ht="24.95" customHeight="1" x14ac:dyDescent="0.2">
      <c r="B42" s="399"/>
      <c r="C42" s="400"/>
      <c r="D42" s="1046"/>
      <c r="E42" s="1047"/>
      <c r="F42" s="1048"/>
      <c r="G42" s="1063"/>
      <c r="H42" s="1064"/>
      <c r="I42" s="1065"/>
      <c r="J42" s="378">
        <f>IF(ISERROR(VLOOKUP(C42,BMP,2,FALSE)),0,VLOOKUP(C42,BMP,2,FALSE))</f>
        <v>0</v>
      </c>
      <c r="K42" s="625">
        <f>IF(ISERROR(K41-L41),0,K41-L41)</f>
        <v>0</v>
      </c>
      <c r="L42" s="625">
        <f>IF(ISERROR(K42*J42),0,K42*J42)</f>
        <v>0</v>
      </c>
      <c r="M42" s="401"/>
      <c r="N42" s="382"/>
    </row>
    <row r="43" spans="1:25" ht="24.95" customHeight="1" x14ac:dyDescent="0.2">
      <c r="B43" s="399"/>
      <c r="C43" s="400"/>
      <c r="D43" s="1049"/>
      <c r="E43" s="1050"/>
      <c r="F43" s="1051"/>
      <c r="G43" s="1066"/>
      <c r="H43" s="1067"/>
      <c r="I43" s="1068"/>
      <c r="J43" s="378">
        <f>IF(ISERROR(VLOOKUP(C43,BMP,2,FALSE)),0,VLOOKUP(C43,BMP,2,FALSE))</f>
        <v>0</v>
      </c>
      <c r="K43" s="625">
        <f>IF(ISERROR(K42-L42),0,K42-L42)</f>
        <v>0</v>
      </c>
      <c r="L43" s="625">
        <f>IF(ISERROR(K43*J43),0,K43*J43)</f>
        <v>0</v>
      </c>
      <c r="M43" s="401"/>
      <c r="N43" s="381"/>
    </row>
    <row r="44" spans="1:25" ht="24.95" customHeight="1" x14ac:dyDescent="0.2">
      <c r="B44" s="1052" t="s">
        <v>371</v>
      </c>
      <c r="C44" s="1053"/>
      <c r="D44" s="1054">
        <f>IF(J43&gt;0,K43-L43,IF(J42&gt;0,K42-L42,IF(J41&gt;0,K41-L41,IF(J40&gt;0,K40-L40,K39-L39))))</f>
        <v>0</v>
      </c>
      <c r="E44" s="1055"/>
      <c r="F44" s="1055"/>
      <c r="G44" s="1055"/>
      <c r="H44" s="1055"/>
      <c r="I44" s="1055"/>
      <c r="J44" s="1055"/>
      <c r="K44" s="1055"/>
      <c r="L44" s="1055"/>
      <c r="M44" s="1056"/>
      <c r="N44" s="382"/>
    </row>
    <row r="45" spans="1:25" s="306" customFormat="1" ht="24.95" customHeight="1" x14ac:dyDescent="0.2">
      <c r="A45" s="164"/>
      <c r="B45" s="953" t="s">
        <v>298</v>
      </c>
      <c r="C45" s="954"/>
      <c r="D45" s="954"/>
      <c r="E45" s="954"/>
      <c r="F45" s="954"/>
      <c r="G45" s="954"/>
      <c r="H45" s="954"/>
      <c r="I45" s="954"/>
      <c r="J45" s="954"/>
      <c r="K45" s="954"/>
      <c r="L45" s="954"/>
      <c r="M45" s="955"/>
      <c r="N45" s="382"/>
      <c r="O45" s="164"/>
      <c r="P45" s="164"/>
      <c r="Q45" s="164"/>
      <c r="R45" s="164"/>
      <c r="S45" s="164"/>
      <c r="T45" s="164"/>
      <c r="U45" s="164"/>
      <c r="V45" s="164"/>
      <c r="W45" s="164"/>
      <c r="X45" s="164"/>
      <c r="Y45" s="164"/>
    </row>
    <row r="46" spans="1:25" s="507" customFormat="1" ht="39.950000000000003" customHeight="1" x14ac:dyDescent="0.2">
      <c r="B46" s="1019" t="s">
        <v>586</v>
      </c>
      <c r="C46" s="1020"/>
      <c r="D46" s="1057"/>
      <c r="E46" s="1058"/>
      <c r="F46" s="1058"/>
      <c r="G46" s="1058"/>
      <c r="H46" s="1058"/>
      <c r="I46" s="1058"/>
      <c r="J46" s="1058"/>
      <c r="K46" s="1058"/>
      <c r="L46" s="1058"/>
      <c r="M46" s="1059"/>
      <c r="N46" s="382"/>
    </row>
    <row r="47" spans="1:25" s="507" customFormat="1" ht="39.950000000000003" hidden="1" customHeight="1" x14ac:dyDescent="0.2">
      <c r="B47" s="1019" t="s">
        <v>587</v>
      </c>
      <c r="C47" s="1020"/>
      <c r="D47" s="1129"/>
      <c r="E47" s="1130"/>
      <c r="F47" s="1130"/>
      <c r="G47" s="1130"/>
      <c r="H47" s="1130"/>
      <c r="I47" s="1130"/>
      <c r="J47" s="1130"/>
      <c r="K47" s="1130"/>
      <c r="L47" s="1130"/>
      <c r="M47" s="1131"/>
      <c r="N47" s="382"/>
    </row>
    <row r="48" spans="1:25" s="507" customFormat="1" ht="79.5" customHeight="1" x14ac:dyDescent="0.2">
      <c r="B48" s="374" t="s">
        <v>318</v>
      </c>
      <c r="C48" s="375" t="s">
        <v>284</v>
      </c>
      <c r="D48" s="1034" t="s">
        <v>568</v>
      </c>
      <c r="E48" s="1034"/>
      <c r="F48" s="1034"/>
      <c r="G48" s="1040" t="s">
        <v>490</v>
      </c>
      <c r="H48" s="1041"/>
      <c r="I48" s="1042"/>
      <c r="J48" s="631" t="s">
        <v>269</v>
      </c>
      <c r="K48" s="631" t="s">
        <v>491</v>
      </c>
      <c r="L48" s="631" t="s">
        <v>492</v>
      </c>
      <c r="M48" s="376" t="s">
        <v>322</v>
      </c>
      <c r="N48" s="382"/>
    </row>
    <row r="49" spans="1:25" ht="24.95" customHeight="1" x14ac:dyDescent="0.2">
      <c r="B49" s="399"/>
      <c r="C49" s="400"/>
      <c r="D49" s="1043" t="e">
        <f>IF('SITE SUMMARY'!$G$35="High",E159,"-")</f>
        <v>#DIV/0!</v>
      </c>
      <c r="E49" s="1044"/>
      <c r="F49" s="1045"/>
      <c r="G49" s="1060"/>
      <c r="H49" s="1061"/>
      <c r="I49" s="1062"/>
      <c r="J49" s="378">
        <f>IF(ISERROR(VLOOKUP(C49,BMP,2,FALSE)),0,VLOOKUP(C49,BMP,2,FALSE))</f>
        <v>0</v>
      </c>
      <c r="K49" s="625">
        <f>IF(ISERROR($G$114),D46,$G$114+D46)</f>
        <v>0</v>
      </c>
      <c r="L49" s="625">
        <f>IF(ISERROR(K49*J49),0,K49*J49)</f>
        <v>0</v>
      </c>
      <c r="M49" s="401"/>
      <c r="N49" s="382"/>
      <c r="O49" s="379"/>
      <c r="P49" s="379"/>
      <c r="Q49" s="379"/>
      <c r="R49" s="379"/>
      <c r="S49" s="379"/>
      <c r="T49" s="379"/>
    </row>
    <row r="50" spans="1:25" ht="24.95" customHeight="1" x14ac:dyDescent="0.2">
      <c r="B50" s="399"/>
      <c r="C50" s="400"/>
      <c r="D50" s="1046"/>
      <c r="E50" s="1047"/>
      <c r="F50" s="1048"/>
      <c r="G50" s="1063"/>
      <c r="H50" s="1064"/>
      <c r="I50" s="1065"/>
      <c r="J50" s="378">
        <f>IF(ISERROR(VLOOKUP(C50,BMP,2,FALSE)),0,VLOOKUP(C50,BMP,2,FALSE))</f>
        <v>0</v>
      </c>
      <c r="K50" s="625">
        <f>IF(ISERROR(K49-L49),0,K49-L49)</f>
        <v>0</v>
      </c>
      <c r="L50" s="625">
        <f>IF(ISERROR(K50*J50),0,K50*J50)</f>
        <v>0</v>
      </c>
      <c r="M50" s="401"/>
      <c r="N50" s="382"/>
    </row>
    <row r="51" spans="1:25" ht="24.95" customHeight="1" x14ac:dyDescent="0.2">
      <c r="B51" s="399"/>
      <c r="C51" s="400"/>
      <c r="D51" s="1046"/>
      <c r="E51" s="1047"/>
      <c r="F51" s="1048"/>
      <c r="G51" s="1063"/>
      <c r="H51" s="1064"/>
      <c r="I51" s="1065"/>
      <c r="J51" s="378">
        <f>IF(ISERROR(VLOOKUP(C51,BMP,2,FALSE)),0,VLOOKUP(C51,BMP,2,FALSE))</f>
        <v>0</v>
      </c>
      <c r="K51" s="625">
        <f>IF(ISERROR(K50-L50),0,K50-L50)</f>
        <v>0</v>
      </c>
      <c r="L51" s="625">
        <f>IF(ISERROR(K51*J51),0,K51*J51)</f>
        <v>0</v>
      </c>
      <c r="M51" s="401"/>
      <c r="N51" s="382"/>
    </row>
    <row r="52" spans="1:25" ht="24.95" customHeight="1" x14ac:dyDescent="0.2">
      <c r="B52" s="399"/>
      <c r="C52" s="400"/>
      <c r="D52" s="1046"/>
      <c r="E52" s="1047"/>
      <c r="F52" s="1048"/>
      <c r="G52" s="1063"/>
      <c r="H52" s="1064"/>
      <c r="I52" s="1065"/>
      <c r="J52" s="378">
        <f>IF(ISERROR(VLOOKUP(C52,BMP,2,FALSE)),0,VLOOKUP(C52,BMP,2,FALSE))</f>
        <v>0</v>
      </c>
      <c r="K52" s="625">
        <f>IF(ISERROR(K51-L51),0,K51-L51)</f>
        <v>0</v>
      </c>
      <c r="L52" s="625">
        <f>IF(ISERROR(K52*J52),0,K52*J52)</f>
        <v>0</v>
      </c>
      <c r="M52" s="401"/>
      <c r="N52" s="382"/>
    </row>
    <row r="53" spans="1:25" ht="24.95" customHeight="1" x14ac:dyDescent="0.2">
      <c r="B53" s="399"/>
      <c r="C53" s="400"/>
      <c r="D53" s="1049"/>
      <c r="E53" s="1050"/>
      <c r="F53" s="1051"/>
      <c r="G53" s="1066"/>
      <c r="H53" s="1067"/>
      <c r="I53" s="1068"/>
      <c r="J53" s="378">
        <f>IF(ISERROR(VLOOKUP(C53,BMP,2,FALSE)),0,VLOOKUP(C53,BMP,2,FALSE))</f>
        <v>0</v>
      </c>
      <c r="K53" s="625">
        <f>IF(ISERROR(K52-L52),0,K52-L52)</f>
        <v>0</v>
      </c>
      <c r="L53" s="625">
        <f>IF(ISERROR(K53*J53),0,K53*J53)</f>
        <v>0</v>
      </c>
      <c r="M53" s="401"/>
      <c r="N53" s="381" t="e">
        <f>IF(G49&gt;(D49+5),"Exceeds Available Volume!","")</f>
        <v>#DIV/0!</v>
      </c>
    </row>
    <row r="54" spans="1:25" ht="24.95" customHeight="1" x14ac:dyDescent="0.2">
      <c r="B54" s="1052" t="s">
        <v>371</v>
      </c>
      <c r="C54" s="1053"/>
      <c r="D54" s="1054">
        <f>IF(J53&gt;0,K326-L53,IF(J52&gt;0,K52-L52,IF(J51&gt;0,K51-L51,IF(J50&gt;0,K50-L50,K49-L49))))</f>
        <v>0</v>
      </c>
      <c r="E54" s="1055"/>
      <c r="F54" s="1055"/>
      <c r="G54" s="1055"/>
      <c r="H54" s="1055"/>
      <c r="I54" s="1055"/>
      <c r="J54" s="1055"/>
      <c r="K54" s="1055"/>
      <c r="L54" s="1055"/>
      <c r="M54" s="1056"/>
      <c r="N54" s="382"/>
    </row>
    <row r="55" spans="1:25" s="306" customFormat="1" ht="24.95" customHeight="1" x14ac:dyDescent="0.2">
      <c r="A55" s="164"/>
      <c r="B55" s="953" t="s">
        <v>287</v>
      </c>
      <c r="C55" s="954"/>
      <c r="D55" s="954"/>
      <c r="E55" s="954"/>
      <c r="F55" s="954"/>
      <c r="G55" s="954"/>
      <c r="H55" s="954"/>
      <c r="I55" s="954"/>
      <c r="J55" s="954"/>
      <c r="K55" s="954"/>
      <c r="L55" s="954"/>
      <c r="M55" s="955"/>
      <c r="N55" s="382"/>
      <c r="O55" s="164"/>
      <c r="P55" s="164"/>
      <c r="Q55" s="164"/>
      <c r="R55" s="164"/>
      <c r="S55" s="164"/>
      <c r="T55" s="164"/>
      <c r="U55" s="164"/>
      <c r="V55" s="164"/>
      <c r="W55" s="164"/>
      <c r="X55" s="164"/>
      <c r="Y55" s="164"/>
    </row>
    <row r="56" spans="1:25" s="507" customFormat="1" ht="39.75" customHeight="1" x14ac:dyDescent="0.2">
      <c r="B56" s="1019" t="s">
        <v>499</v>
      </c>
      <c r="C56" s="1020"/>
      <c r="D56" s="1057"/>
      <c r="E56" s="1058"/>
      <c r="F56" s="1058"/>
      <c r="G56" s="1058"/>
      <c r="H56" s="1058"/>
      <c r="I56" s="1058"/>
      <c r="J56" s="1058"/>
      <c r="K56" s="1058"/>
      <c r="L56" s="1058"/>
      <c r="M56" s="1059"/>
      <c r="N56" s="382"/>
    </row>
    <row r="57" spans="1:25" s="507" customFormat="1" ht="39.75" hidden="1" customHeight="1" x14ac:dyDescent="0.2">
      <c r="B57" s="1019" t="s">
        <v>500</v>
      </c>
      <c r="C57" s="1020"/>
      <c r="D57" s="1129"/>
      <c r="E57" s="1130"/>
      <c r="F57" s="1130"/>
      <c r="G57" s="1130"/>
      <c r="H57" s="1130"/>
      <c r="I57" s="1130"/>
      <c r="J57" s="1130"/>
      <c r="K57" s="1130"/>
      <c r="L57" s="1130"/>
      <c r="M57" s="1131"/>
      <c r="N57" s="382"/>
    </row>
    <row r="58" spans="1:25" s="507" customFormat="1" ht="79.5" customHeight="1" x14ac:dyDescent="0.2">
      <c r="B58" s="374" t="s">
        <v>318</v>
      </c>
      <c r="C58" s="375" t="s">
        <v>284</v>
      </c>
      <c r="D58" s="1034" t="s">
        <v>568</v>
      </c>
      <c r="E58" s="1034"/>
      <c r="F58" s="1034"/>
      <c r="G58" s="1040" t="s">
        <v>490</v>
      </c>
      <c r="H58" s="1041"/>
      <c r="I58" s="1042"/>
      <c r="J58" s="631" t="s">
        <v>269</v>
      </c>
      <c r="K58" s="631" t="s">
        <v>491</v>
      </c>
      <c r="L58" s="631" t="s">
        <v>492</v>
      </c>
      <c r="M58" s="376" t="s">
        <v>322</v>
      </c>
      <c r="N58" s="382"/>
    </row>
    <row r="59" spans="1:25" ht="24.95" customHeight="1" x14ac:dyDescent="0.2">
      <c r="B59" s="399"/>
      <c r="C59" s="400"/>
      <c r="D59" s="1043" t="e">
        <f>IF('SITE SUMMARY'!$G$35="High",E163,"-")</f>
        <v>#DIV/0!</v>
      </c>
      <c r="E59" s="1044"/>
      <c r="F59" s="1045"/>
      <c r="G59" s="1060"/>
      <c r="H59" s="1061"/>
      <c r="I59" s="1062"/>
      <c r="J59" s="378">
        <f>IF(ISERROR(VLOOKUP(C59,BMP,2,FALSE)),0,VLOOKUP(C59,BMP,2,FALSE))</f>
        <v>0</v>
      </c>
      <c r="K59" s="625">
        <f>IF(ISERROR($H$114),D56,$H$114+D56)</f>
        <v>0</v>
      </c>
      <c r="L59" s="625">
        <f>IF(ISERROR(K59*J59),0,K59*J59)</f>
        <v>0</v>
      </c>
      <c r="M59" s="401"/>
      <c r="N59" s="382"/>
      <c r="O59" s="379"/>
      <c r="P59" s="379"/>
      <c r="Q59" s="379"/>
      <c r="R59" s="379"/>
      <c r="S59" s="379"/>
      <c r="T59" s="379"/>
    </row>
    <row r="60" spans="1:25" ht="24.95" customHeight="1" x14ac:dyDescent="0.2">
      <c r="B60" s="399"/>
      <c r="C60" s="400"/>
      <c r="D60" s="1046"/>
      <c r="E60" s="1047"/>
      <c r="F60" s="1048"/>
      <c r="G60" s="1063"/>
      <c r="H60" s="1064"/>
      <c r="I60" s="1065"/>
      <c r="J60" s="378">
        <f>IF(ISERROR(VLOOKUP(C60,BMP,2,FALSE)),0,VLOOKUP(C60,BMP,2,FALSE))</f>
        <v>0</v>
      </c>
      <c r="K60" s="625">
        <f>IF(ISERROR(K59-L59),0,K59-L59)</f>
        <v>0</v>
      </c>
      <c r="L60" s="625">
        <f>IF(ISERROR(K60*J60),0,K60*J60)</f>
        <v>0</v>
      </c>
      <c r="M60" s="401"/>
      <c r="N60" s="382"/>
    </row>
    <row r="61" spans="1:25" ht="24.95" customHeight="1" x14ac:dyDescent="0.2">
      <c r="B61" s="399"/>
      <c r="C61" s="400"/>
      <c r="D61" s="1046"/>
      <c r="E61" s="1047"/>
      <c r="F61" s="1048"/>
      <c r="G61" s="1063"/>
      <c r="H61" s="1064"/>
      <c r="I61" s="1065"/>
      <c r="J61" s="378">
        <f>IF(ISERROR(VLOOKUP(C61,BMP,2,FALSE)),0,VLOOKUP(C61,BMP,2,FALSE))</f>
        <v>0</v>
      </c>
      <c r="K61" s="625">
        <f>IF(ISERROR(K60-L60),0,K60-L60)</f>
        <v>0</v>
      </c>
      <c r="L61" s="625">
        <f>IF(ISERROR(K61*J61),0,K61*J61)</f>
        <v>0</v>
      </c>
      <c r="M61" s="401"/>
      <c r="N61" s="382"/>
    </row>
    <row r="62" spans="1:25" ht="24.95" customHeight="1" x14ac:dyDescent="0.2">
      <c r="B62" s="399"/>
      <c r="C62" s="400"/>
      <c r="D62" s="1046"/>
      <c r="E62" s="1047"/>
      <c r="F62" s="1048"/>
      <c r="G62" s="1063"/>
      <c r="H62" s="1064"/>
      <c r="I62" s="1065"/>
      <c r="J62" s="378">
        <f>IF(ISERROR(VLOOKUP(C62,BMP,2,FALSE)),0,VLOOKUP(C62,BMP,2,FALSE))</f>
        <v>0</v>
      </c>
      <c r="K62" s="625">
        <f>IF(ISERROR(K61-L61),0,K61-L61)</f>
        <v>0</v>
      </c>
      <c r="L62" s="625">
        <f>IF(ISERROR(K62*J62),0,K62*J62)</f>
        <v>0</v>
      </c>
      <c r="M62" s="401"/>
      <c r="N62" s="382"/>
    </row>
    <row r="63" spans="1:25" ht="24.95" customHeight="1" x14ac:dyDescent="0.2">
      <c r="B63" s="399"/>
      <c r="C63" s="400"/>
      <c r="D63" s="1049"/>
      <c r="E63" s="1050"/>
      <c r="F63" s="1051"/>
      <c r="G63" s="1066"/>
      <c r="H63" s="1067"/>
      <c r="I63" s="1068"/>
      <c r="J63" s="378">
        <f>IF(ISERROR(VLOOKUP(C63,BMP,2,FALSE)),0,VLOOKUP(C63,BMP,2,FALSE))</f>
        <v>0</v>
      </c>
      <c r="K63" s="625">
        <f>IF(ISERROR(K62-L62),0,K62-L62)</f>
        <v>0</v>
      </c>
      <c r="L63" s="625">
        <f>IF(ISERROR(K63*J63),0,K63*J63)</f>
        <v>0</v>
      </c>
      <c r="M63" s="401"/>
      <c r="N63" s="381" t="e">
        <f>IF(G59&gt;(D59+5),"Exceeds Available Volume!","")</f>
        <v>#DIV/0!</v>
      </c>
    </row>
    <row r="64" spans="1:25" ht="24.95" customHeight="1" x14ac:dyDescent="0.2">
      <c r="B64" s="1052" t="s">
        <v>371</v>
      </c>
      <c r="C64" s="1053"/>
      <c r="D64" s="1054">
        <f>IF(J63&gt;0,K63-L63,IF(J62&gt;0,K62-L62,IF(J61&gt;0,K61-L61,IF(J60&gt;0,K60-L60,K59-L59))))</f>
        <v>0</v>
      </c>
      <c r="E64" s="1055"/>
      <c r="F64" s="1055"/>
      <c r="G64" s="1055"/>
      <c r="H64" s="1055"/>
      <c r="I64" s="1055"/>
      <c r="J64" s="1055"/>
      <c r="K64" s="1055"/>
      <c r="L64" s="1055"/>
      <c r="M64" s="1056"/>
      <c r="N64" s="382"/>
    </row>
    <row r="65" spans="1:25" s="306" customFormat="1" ht="24.95" customHeight="1" x14ac:dyDescent="0.2">
      <c r="A65" s="164"/>
      <c r="B65" s="953" t="s">
        <v>372</v>
      </c>
      <c r="C65" s="954"/>
      <c r="D65" s="954"/>
      <c r="E65" s="954"/>
      <c r="F65" s="954"/>
      <c r="G65" s="954"/>
      <c r="H65" s="954"/>
      <c r="I65" s="954"/>
      <c r="J65" s="954"/>
      <c r="K65" s="954"/>
      <c r="L65" s="954"/>
      <c r="M65" s="955"/>
      <c r="N65" s="334"/>
      <c r="O65" s="164"/>
      <c r="P65" s="164"/>
      <c r="Q65" s="164"/>
      <c r="R65" s="164"/>
      <c r="S65" s="164"/>
      <c r="T65" s="164"/>
      <c r="U65" s="164"/>
      <c r="V65" s="164"/>
      <c r="W65" s="164"/>
      <c r="X65" s="164"/>
      <c r="Y65" s="164"/>
    </row>
    <row r="66" spans="1:25" s="507" customFormat="1" ht="39.950000000000003" customHeight="1" x14ac:dyDescent="0.2">
      <c r="B66" s="1019" t="s">
        <v>373</v>
      </c>
      <c r="C66" s="1020"/>
      <c r="D66" s="1057"/>
      <c r="E66" s="1058"/>
      <c r="F66" s="1058"/>
      <c r="G66" s="1058"/>
      <c r="H66" s="1058"/>
      <c r="I66" s="1058"/>
      <c r="J66" s="1058"/>
      <c r="K66" s="1058"/>
      <c r="L66" s="1058"/>
      <c r="M66" s="1059"/>
      <c r="N66" s="382"/>
    </row>
    <row r="67" spans="1:25" s="507" customFormat="1" ht="39.950000000000003" hidden="1" customHeight="1" x14ac:dyDescent="0.2">
      <c r="B67" s="1019" t="s">
        <v>501</v>
      </c>
      <c r="C67" s="1020"/>
      <c r="D67" s="1129"/>
      <c r="E67" s="1130"/>
      <c r="F67" s="1130"/>
      <c r="G67" s="1130"/>
      <c r="H67" s="1130"/>
      <c r="I67" s="1130"/>
      <c r="J67" s="1130"/>
      <c r="K67" s="1130"/>
      <c r="L67" s="1130"/>
      <c r="M67" s="1131"/>
      <c r="N67" s="382"/>
    </row>
    <row r="68" spans="1:25" s="507" customFormat="1" ht="79.5" customHeight="1" x14ac:dyDescent="0.2">
      <c r="B68" s="374" t="s">
        <v>318</v>
      </c>
      <c r="C68" s="375" t="s">
        <v>284</v>
      </c>
      <c r="D68" s="1034" t="s">
        <v>568</v>
      </c>
      <c r="E68" s="1034"/>
      <c r="F68" s="1034"/>
      <c r="G68" s="1034" t="s">
        <v>490</v>
      </c>
      <c r="H68" s="1034"/>
      <c r="I68" s="1034"/>
      <c r="J68" s="631" t="s">
        <v>269</v>
      </c>
      <c r="K68" s="631" t="s">
        <v>491</v>
      </c>
      <c r="L68" s="631" t="s">
        <v>492</v>
      </c>
      <c r="M68" s="376" t="s">
        <v>322</v>
      </c>
      <c r="N68" s="382"/>
    </row>
    <row r="69" spans="1:25" ht="24.95" customHeight="1" x14ac:dyDescent="0.2">
      <c r="B69" s="399"/>
      <c r="C69" s="400"/>
      <c r="D69" s="1043" t="e">
        <f>IF('SITE SUMMARY'!$G$35="High",E167,"-")</f>
        <v>#DIV/0!</v>
      </c>
      <c r="E69" s="1044"/>
      <c r="F69" s="1045"/>
      <c r="G69" s="1060"/>
      <c r="H69" s="1061"/>
      <c r="I69" s="1062"/>
      <c r="J69" s="378">
        <f>IF(ISERROR(VLOOKUP(C69,BMP,2,FALSE)),0,VLOOKUP(C69,BMP,2,FALSE))</f>
        <v>0</v>
      </c>
      <c r="K69" s="625">
        <f>IF(ISERROR($I$114),D66,$I$114+D66)</f>
        <v>0</v>
      </c>
      <c r="L69" s="625">
        <f>IF(ISERROR(K69*J69),0,K69*J69)</f>
        <v>0</v>
      </c>
      <c r="M69" s="401"/>
      <c r="N69" s="382"/>
      <c r="O69" s="379"/>
      <c r="P69" s="379"/>
      <c r="Q69" s="379"/>
      <c r="R69" s="379"/>
      <c r="S69" s="379"/>
      <c r="T69" s="379"/>
    </row>
    <row r="70" spans="1:25" ht="24.95" customHeight="1" x14ac:dyDescent="0.2">
      <c r="B70" s="399"/>
      <c r="C70" s="400"/>
      <c r="D70" s="1046"/>
      <c r="E70" s="1047"/>
      <c r="F70" s="1048"/>
      <c r="G70" s="1063"/>
      <c r="H70" s="1064"/>
      <c r="I70" s="1065"/>
      <c r="J70" s="378">
        <f>IF(ISERROR(VLOOKUP(C70,BMP,2,FALSE)),0,VLOOKUP(C70,BMP,2,FALSE))</f>
        <v>0</v>
      </c>
      <c r="K70" s="625">
        <f>IF(ISERROR(K69-L69),0,K69-L69)</f>
        <v>0</v>
      </c>
      <c r="L70" s="625">
        <f>IF(ISERROR(K70*J70),0,K70*J70)</f>
        <v>0</v>
      </c>
      <c r="M70" s="401"/>
      <c r="N70" s="382"/>
    </row>
    <row r="71" spans="1:25" ht="24.95" customHeight="1" x14ac:dyDescent="0.2">
      <c r="B71" s="399"/>
      <c r="C71" s="400"/>
      <c r="D71" s="1046"/>
      <c r="E71" s="1047"/>
      <c r="F71" s="1048"/>
      <c r="G71" s="1063"/>
      <c r="H71" s="1064"/>
      <c r="I71" s="1065"/>
      <c r="J71" s="378">
        <f>IF(ISERROR(VLOOKUP(C71,BMP,2,FALSE)),0,VLOOKUP(C71,BMP,2,FALSE))</f>
        <v>0</v>
      </c>
      <c r="K71" s="625">
        <f>IF(ISERROR(K70-L70),0,K70-L70)</f>
        <v>0</v>
      </c>
      <c r="L71" s="625">
        <f>IF(ISERROR(K71*J71),0,K71*J71)</f>
        <v>0</v>
      </c>
      <c r="M71" s="401"/>
      <c r="N71" s="382"/>
    </row>
    <row r="72" spans="1:25" ht="24.95" customHeight="1" x14ac:dyDescent="0.2">
      <c r="B72" s="399"/>
      <c r="C72" s="400"/>
      <c r="D72" s="1046"/>
      <c r="E72" s="1047"/>
      <c r="F72" s="1048"/>
      <c r="G72" s="1063"/>
      <c r="H72" s="1064"/>
      <c r="I72" s="1065"/>
      <c r="J72" s="378">
        <f>IF(ISERROR(VLOOKUP(C72,BMP,2,FALSE)),0,VLOOKUP(C72,BMP,2,FALSE))</f>
        <v>0</v>
      </c>
      <c r="K72" s="625">
        <f>IF(ISERROR(K71-L71),0,K71-L71)</f>
        <v>0</v>
      </c>
      <c r="L72" s="625">
        <f>IF(ISERROR(K72*J72),0,K72*J72)</f>
        <v>0</v>
      </c>
      <c r="M72" s="401"/>
      <c r="N72" s="382"/>
    </row>
    <row r="73" spans="1:25" ht="24.95" customHeight="1" x14ac:dyDescent="0.2">
      <c r="B73" s="399"/>
      <c r="C73" s="400"/>
      <c r="D73" s="1049"/>
      <c r="E73" s="1050"/>
      <c r="F73" s="1051"/>
      <c r="G73" s="1066"/>
      <c r="H73" s="1067"/>
      <c r="I73" s="1068"/>
      <c r="J73" s="378">
        <f>IF(ISERROR(VLOOKUP(C73,BMP,2,FALSE)),0,VLOOKUP(C73,BMP,2,FALSE))</f>
        <v>0</v>
      </c>
      <c r="K73" s="625">
        <f>IF(ISERROR(K72-L72),0,K72-L72)</f>
        <v>0</v>
      </c>
      <c r="L73" s="625">
        <f>IF(ISERROR(K73*J73),0,K73*J73)</f>
        <v>0</v>
      </c>
      <c r="M73" s="401"/>
      <c r="N73" s="381" t="e">
        <f>IF(G69&gt;(D69+5),"Exceeds Available Volume!","")</f>
        <v>#DIV/0!</v>
      </c>
    </row>
    <row r="74" spans="1:25" ht="24.95" customHeight="1" x14ac:dyDescent="0.2">
      <c r="B74" s="1052" t="s">
        <v>371</v>
      </c>
      <c r="C74" s="1053"/>
      <c r="D74" s="1054">
        <f>IF(J73&gt;0,K73-L73,IF(J72&gt;0,K72-L72,IF(J71&gt;0,K71-L71,IF(J70&gt;0,K70-L70,K69-L69))))</f>
        <v>0</v>
      </c>
      <c r="E74" s="1055"/>
      <c r="F74" s="1055"/>
      <c r="G74" s="1055"/>
      <c r="H74" s="1055"/>
      <c r="I74" s="1055"/>
      <c r="J74" s="1055"/>
      <c r="K74" s="1055"/>
      <c r="L74" s="1055"/>
      <c r="M74" s="1056"/>
      <c r="N74" s="382"/>
    </row>
    <row r="75" spans="1:25" ht="24.95" customHeight="1" x14ac:dyDescent="0.2">
      <c r="B75" s="1116" t="s">
        <v>630</v>
      </c>
      <c r="C75" s="1117"/>
      <c r="D75" s="1117"/>
      <c r="E75" s="1117"/>
      <c r="F75" s="1117"/>
      <c r="G75" s="1117"/>
      <c r="H75" s="1117"/>
      <c r="I75" s="1117"/>
      <c r="J75" s="1117"/>
      <c r="K75" s="1117"/>
      <c r="L75" s="1117"/>
      <c r="M75" s="1118"/>
      <c r="N75" s="1132" t="s">
        <v>422</v>
      </c>
    </row>
    <row r="76" spans="1:25" ht="24.95" customHeight="1" x14ac:dyDescent="0.2">
      <c r="B76" s="1110" t="s">
        <v>493</v>
      </c>
      <c r="C76" s="1111"/>
      <c r="D76" s="1112">
        <f>G29+G39+G49+G59+G69</f>
        <v>0</v>
      </c>
      <c r="E76" s="1113"/>
      <c r="F76" s="1113"/>
      <c r="G76" s="1113"/>
      <c r="H76" s="1113"/>
      <c r="I76" s="1113"/>
      <c r="J76" s="1113"/>
      <c r="K76" s="1113"/>
      <c r="L76" s="1113"/>
      <c r="M76" s="1114"/>
      <c r="N76" s="1132"/>
    </row>
    <row r="77" spans="1:25" ht="24.95" customHeight="1" x14ac:dyDescent="0.2">
      <c r="B77" s="1069" t="s">
        <v>338</v>
      </c>
      <c r="C77" s="884"/>
      <c r="D77" s="1070">
        <f>SUM(L29:L33,L39:L43,L49:L53,L59:L63,L69:L73)</f>
        <v>0</v>
      </c>
      <c r="E77" s="1070"/>
      <c r="F77" s="1070"/>
      <c r="G77" s="1070"/>
      <c r="H77" s="1070"/>
      <c r="I77" s="1070"/>
      <c r="J77" s="1070"/>
      <c r="K77" s="1070"/>
      <c r="L77" s="1070"/>
      <c r="M77" s="1071"/>
      <c r="N77" s="1132"/>
    </row>
    <row r="78" spans="1:25" ht="24.95" customHeight="1" x14ac:dyDescent="0.2">
      <c r="B78" s="1099" t="s">
        <v>337</v>
      </c>
      <c r="C78" s="1100"/>
      <c r="D78" s="1100"/>
      <c r="E78" s="1100"/>
      <c r="F78" s="1100"/>
      <c r="G78" s="1100"/>
      <c r="H78" s="1100"/>
      <c r="I78" s="1100"/>
      <c r="J78" s="1100"/>
      <c r="K78" s="1100"/>
      <c r="L78" s="1100"/>
      <c r="M78" s="1101"/>
      <c r="N78" s="1132"/>
    </row>
    <row r="79" spans="1:25" ht="24.95" customHeight="1" x14ac:dyDescent="0.2">
      <c r="B79" s="883" t="s">
        <v>465</v>
      </c>
      <c r="C79" s="884"/>
      <c r="D79" s="1072">
        <f>IF(('DA4'!H83-D76)&lt;0,0,'DA4'!H83-D76)</f>
        <v>0</v>
      </c>
      <c r="E79" s="1072"/>
      <c r="F79" s="1072"/>
      <c r="G79" s="1072"/>
      <c r="H79" s="1072"/>
      <c r="I79" s="1072"/>
      <c r="J79" s="1072"/>
      <c r="K79" s="1072"/>
      <c r="L79" s="1072"/>
      <c r="M79" s="1073"/>
      <c r="N79" s="1132"/>
    </row>
    <row r="80" spans="1:25" ht="24.95" customHeight="1" x14ac:dyDescent="0.2">
      <c r="B80" s="1069" t="s">
        <v>413</v>
      </c>
      <c r="C80" s="884"/>
      <c r="D80" s="1074" t="e">
        <f>((((D79)/(C9*43560)))*12)</f>
        <v>#DIV/0!</v>
      </c>
      <c r="E80" s="1074"/>
      <c r="F80" s="1074"/>
      <c r="G80" s="1074"/>
      <c r="H80" s="1074"/>
      <c r="I80" s="1074"/>
      <c r="J80" s="1074"/>
      <c r="K80" s="1074"/>
      <c r="L80" s="1074"/>
      <c r="M80" s="1075"/>
      <c r="N80" s="1132"/>
    </row>
    <row r="81" spans="1:14" ht="24.95" customHeight="1" x14ac:dyDescent="0.2">
      <c r="B81" s="1069" t="s">
        <v>409</v>
      </c>
      <c r="C81" s="884"/>
      <c r="D81" s="1076">
        <f>IF(ISERROR(VLOOKUP($D$80,CN,2,TRUE)),0,VLOOKUP($D$80,CN,2,TRUE))</f>
        <v>0</v>
      </c>
      <c r="E81" s="1076"/>
      <c r="F81" s="1076"/>
      <c r="G81" s="1076"/>
      <c r="H81" s="1076"/>
      <c r="I81" s="1076"/>
      <c r="J81" s="1076"/>
      <c r="K81" s="1076"/>
      <c r="L81" s="1076"/>
      <c r="M81" s="1077"/>
      <c r="N81" s="1132"/>
    </row>
    <row r="82" spans="1:14" ht="33.75" customHeight="1" x14ac:dyDescent="0.2">
      <c r="B82" s="1069" t="s">
        <v>353</v>
      </c>
      <c r="C82" s="884"/>
      <c r="D82" s="1102"/>
      <c r="E82" s="1103"/>
      <c r="F82" s="1103"/>
      <c r="G82" s="1103"/>
      <c r="H82" s="1103"/>
      <c r="I82" s="1103"/>
      <c r="J82" s="1103"/>
      <c r="K82" s="1103"/>
      <c r="L82" s="1103"/>
      <c r="M82" s="1104"/>
      <c r="N82" s="1132"/>
    </row>
    <row r="83" spans="1:14" ht="24.95" customHeight="1" x14ac:dyDescent="0.2">
      <c r="B83" s="1099" t="s">
        <v>374</v>
      </c>
      <c r="C83" s="1100"/>
      <c r="D83" s="1100"/>
      <c r="E83" s="1100"/>
      <c r="F83" s="1100"/>
      <c r="G83" s="1100"/>
      <c r="H83" s="1100"/>
      <c r="I83" s="1100"/>
      <c r="J83" s="1100"/>
      <c r="K83" s="1100"/>
      <c r="L83" s="1100"/>
      <c r="M83" s="1101"/>
      <c r="N83" s="1132"/>
    </row>
    <row r="84" spans="1:14" ht="24.95" customHeight="1" x14ac:dyDescent="0.2">
      <c r="B84" s="883" t="s">
        <v>416</v>
      </c>
      <c r="C84" s="884"/>
      <c r="D84" s="1072" t="e">
        <f>IF(('DA4'!H88-D76)&lt;0,0,'DA4'!H88-D76)</f>
        <v>#DIV/0!</v>
      </c>
      <c r="E84" s="1072"/>
      <c r="F84" s="1072"/>
      <c r="G84" s="1072"/>
      <c r="H84" s="1072"/>
      <c r="I84" s="1072"/>
      <c r="J84" s="1072"/>
      <c r="K84" s="1072"/>
      <c r="L84" s="1072"/>
      <c r="M84" s="1073"/>
      <c r="N84" s="1132"/>
    </row>
    <row r="85" spans="1:14" ht="24.95" customHeight="1" x14ac:dyDescent="0.2">
      <c r="B85" s="1105" t="s">
        <v>411</v>
      </c>
      <c r="C85" s="1106"/>
      <c r="D85" s="1074" t="e">
        <f>((D84/(C9*43560)))*12</f>
        <v>#DIV/0!</v>
      </c>
      <c r="E85" s="1074"/>
      <c r="F85" s="1074"/>
      <c r="G85" s="1074"/>
      <c r="H85" s="1074"/>
      <c r="I85" s="1074"/>
      <c r="J85" s="1074"/>
      <c r="K85" s="1074"/>
      <c r="L85" s="1074"/>
      <c r="M85" s="1075"/>
      <c r="N85" s="1132"/>
    </row>
    <row r="86" spans="1:14" ht="24.95" customHeight="1" x14ac:dyDescent="0.2">
      <c r="B86" s="1069" t="s">
        <v>431</v>
      </c>
      <c r="C86" s="884"/>
      <c r="D86" s="1076">
        <f>IF(ISERROR(VLOOKUP(D85,CN2YR,2,TRUE)),0,VLOOKUP(D85,CN2YR,2,TRUE))</f>
        <v>0</v>
      </c>
      <c r="E86" s="1076"/>
      <c r="F86" s="1076"/>
      <c r="G86" s="1076"/>
      <c r="H86" s="1076"/>
      <c r="I86" s="1076"/>
      <c r="J86" s="1076"/>
      <c r="K86" s="1076"/>
      <c r="L86" s="1076"/>
      <c r="M86" s="1077"/>
      <c r="N86" s="1132"/>
    </row>
    <row r="87" spans="1:14" ht="33.75" customHeight="1" x14ac:dyDescent="0.2">
      <c r="B87" s="1069" t="s">
        <v>410</v>
      </c>
      <c r="C87" s="884"/>
      <c r="D87" s="1102"/>
      <c r="E87" s="1103"/>
      <c r="F87" s="1103"/>
      <c r="G87" s="1103"/>
      <c r="H87" s="1103"/>
      <c r="I87" s="1103"/>
      <c r="J87" s="1103"/>
      <c r="K87" s="1103"/>
      <c r="L87" s="1103"/>
      <c r="M87" s="1104"/>
      <c r="N87" s="1132"/>
    </row>
    <row r="88" spans="1:14" ht="24.95" customHeight="1" x14ac:dyDescent="0.2">
      <c r="B88" s="1099" t="s">
        <v>376</v>
      </c>
      <c r="C88" s="1100"/>
      <c r="D88" s="1100"/>
      <c r="E88" s="1100"/>
      <c r="F88" s="1100"/>
      <c r="G88" s="1100"/>
      <c r="H88" s="1100"/>
      <c r="I88" s="1100"/>
      <c r="J88" s="1100"/>
      <c r="K88" s="1100"/>
      <c r="L88" s="1100"/>
      <c r="M88" s="1101"/>
      <c r="N88" s="1132"/>
    </row>
    <row r="89" spans="1:14" s="169" customFormat="1" ht="24.95" hidden="1" customHeight="1" x14ac:dyDescent="0.2">
      <c r="A89" s="216"/>
      <c r="B89" s="1097" t="s">
        <v>417</v>
      </c>
      <c r="C89" s="1098"/>
      <c r="D89" s="1078" t="e">
        <f>('DA4'!H91/12)*('DA4'!H10*43560)</f>
        <v>#DIV/0!</v>
      </c>
      <c r="E89" s="1079"/>
      <c r="F89" s="1079"/>
      <c r="G89" s="1079"/>
      <c r="H89" s="1079"/>
      <c r="I89" s="1079"/>
      <c r="J89" s="1079"/>
      <c r="K89" s="1079"/>
      <c r="L89" s="1079"/>
      <c r="M89" s="1080"/>
      <c r="N89" s="1132"/>
    </row>
    <row r="90" spans="1:14" ht="24.95" customHeight="1" x14ac:dyDescent="0.2">
      <c r="B90" s="883" t="s">
        <v>466</v>
      </c>
      <c r="C90" s="884"/>
      <c r="D90" s="1072" t="e">
        <f>IF(('DA4'!H92-D76)&lt;0,0,'DA4'!H92-D76)</f>
        <v>#DIV/0!</v>
      </c>
      <c r="E90" s="1072"/>
      <c r="F90" s="1072"/>
      <c r="G90" s="1072"/>
      <c r="H90" s="1072"/>
      <c r="I90" s="1072"/>
      <c r="J90" s="1072"/>
      <c r="K90" s="1072"/>
      <c r="L90" s="1072"/>
      <c r="M90" s="1073"/>
      <c r="N90" s="1132"/>
    </row>
    <row r="91" spans="1:14" ht="24.95" customHeight="1" x14ac:dyDescent="0.2">
      <c r="B91" s="1069" t="s">
        <v>432</v>
      </c>
      <c r="C91" s="884"/>
      <c r="D91" s="1074" t="e">
        <f>((D90/(C9*43560)))*12</f>
        <v>#DIV/0!</v>
      </c>
      <c r="E91" s="1074"/>
      <c r="F91" s="1074"/>
      <c r="G91" s="1074"/>
      <c r="H91" s="1074"/>
      <c r="I91" s="1074"/>
      <c r="J91" s="1074"/>
      <c r="K91" s="1074"/>
      <c r="L91" s="1074"/>
      <c r="M91" s="1075"/>
      <c r="N91" s="1132"/>
    </row>
    <row r="92" spans="1:14" ht="24.95" customHeight="1" x14ac:dyDescent="0.2">
      <c r="B92" s="1105" t="s">
        <v>433</v>
      </c>
      <c r="C92" s="1106"/>
      <c r="D92" s="1076">
        <f>IF(ISERROR(VLOOKUP(D91,CN2YR,2,TRUE)),0,VLOOKUP(D91,CN2YR,2,TRUE))</f>
        <v>0</v>
      </c>
      <c r="E92" s="1076"/>
      <c r="F92" s="1076"/>
      <c r="G92" s="1076"/>
      <c r="H92" s="1076"/>
      <c r="I92" s="1076"/>
      <c r="J92" s="1076"/>
      <c r="K92" s="1076"/>
      <c r="L92" s="1076"/>
      <c r="M92" s="1077"/>
      <c r="N92" s="1132"/>
    </row>
    <row r="93" spans="1:14" ht="33.75" customHeight="1" thickBot="1" x14ac:dyDescent="0.25">
      <c r="B93" s="1021" t="s">
        <v>412</v>
      </c>
      <c r="C93" s="1022"/>
      <c r="D93" s="1023"/>
      <c r="E93" s="1024"/>
      <c r="F93" s="1024"/>
      <c r="G93" s="1024"/>
      <c r="H93" s="1024"/>
      <c r="I93" s="1024"/>
      <c r="J93" s="1024"/>
      <c r="K93" s="1024"/>
      <c r="L93" s="1024"/>
      <c r="M93" s="1025"/>
      <c r="N93" s="1132"/>
    </row>
    <row r="94" spans="1:14" s="507" customFormat="1" x14ac:dyDescent="0.2">
      <c r="K94" s="573"/>
    </row>
    <row r="95" spans="1:14" s="507" customFormat="1" hidden="1" x14ac:dyDescent="0.2">
      <c r="K95" s="573"/>
    </row>
    <row r="96" spans="1:14" s="507" customFormat="1" hidden="1" x14ac:dyDescent="0.2">
      <c r="K96" s="573"/>
    </row>
    <row r="97" spans="1:25" s="507" customFormat="1" hidden="1" x14ac:dyDescent="0.2">
      <c r="K97" s="573"/>
    </row>
    <row r="98" spans="1:25" s="507" customFormat="1" hidden="1" x14ac:dyDescent="0.2">
      <c r="K98" s="573"/>
      <c r="N98" s="344"/>
    </row>
    <row r="99" spans="1:25" s="383" customFormat="1" ht="15.75" hidden="1" x14ac:dyDescent="0.25">
      <c r="A99" s="508"/>
      <c r="B99" s="313" t="s">
        <v>126</v>
      </c>
      <c r="K99" s="449"/>
    </row>
    <row r="100" spans="1:25" hidden="1" x14ac:dyDescent="0.2">
      <c r="B100" s="507"/>
      <c r="C100" s="507"/>
      <c r="D100" s="507"/>
      <c r="E100" s="507"/>
      <c r="F100" s="507"/>
      <c r="G100" s="507"/>
      <c r="H100" s="507"/>
      <c r="I100" s="507"/>
      <c r="J100" s="507"/>
      <c r="K100" s="573"/>
      <c r="L100" s="507"/>
      <c r="M100" s="507"/>
      <c r="N100" s="347"/>
    </row>
    <row r="101" spans="1:25" hidden="1" x14ac:dyDescent="0.2">
      <c r="B101" s="507"/>
      <c r="C101" s="507"/>
      <c r="D101" s="507"/>
      <c r="E101" s="507"/>
      <c r="F101" s="507"/>
      <c r="G101" s="507"/>
      <c r="H101" s="507"/>
      <c r="I101" s="507"/>
      <c r="J101" s="507"/>
      <c r="K101" s="573"/>
      <c r="L101" s="507"/>
      <c r="M101" s="507"/>
      <c r="N101" s="347"/>
    </row>
    <row r="102" spans="1:25" ht="18" hidden="1" x14ac:dyDescent="0.25">
      <c r="B102" s="384" t="s">
        <v>276</v>
      </c>
      <c r="C102" s="384"/>
      <c r="D102" s="384"/>
      <c r="E102" s="384"/>
      <c r="F102" s="384"/>
      <c r="G102" s="384"/>
      <c r="H102" s="384"/>
      <c r="I102" s="384"/>
      <c r="J102" s="384"/>
      <c r="K102" s="384"/>
      <c r="L102" s="384"/>
      <c r="M102" s="384"/>
      <c r="N102" s="347"/>
    </row>
    <row r="103" spans="1:25" hidden="1" x14ac:dyDescent="0.2">
      <c r="B103" s="507"/>
      <c r="C103" s="507"/>
      <c r="D103" s="507"/>
      <c r="E103" s="507"/>
      <c r="F103" s="507"/>
      <c r="G103" s="507"/>
      <c r="H103" s="507"/>
      <c r="I103" s="507"/>
      <c r="J103" s="507"/>
      <c r="K103" s="573"/>
      <c r="L103" s="507"/>
      <c r="M103" s="507"/>
      <c r="N103" s="347"/>
    </row>
    <row r="104" spans="1:25" ht="47.25" hidden="1" x14ac:dyDescent="0.2">
      <c r="B104" s="385" t="s">
        <v>273</v>
      </c>
      <c r="C104" s="386"/>
      <c r="D104" s="579" t="s">
        <v>553</v>
      </c>
      <c r="E104" s="580" t="s">
        <v>631</v>
      </c>
      <c r="F104" s="580" t="s">
        <v>632</v>
      </c>
      <c r="G104" s="580" t="s">
        <v>633</v>
      </c>
      <c r="H104" s="591" t="s">
        <v>634</v>
      </c>
      <c r="I104" s="591" t="s">
        <v>635</v>
      </c>
      <c r="J104" s="507"/>
      <c r="K104" s="507"/>
      <c r="L104" s="609"/>
      <c r="M104" s="507"/>
      <c r="N104" s="507"/>
      <c r="X104" s="161"/>
      <c r="Y104" s="161"/>
    </row>
    <row r="105" spans="1:25" hidden="1" x14ac:dyDescent="0.2">
      <c r="B105" s="592" t="s">
        <v>12</v>
      </c>
      <c r="C105" s="387"/>
      <c r="D105" s="578">
        <v>1.2</v>
      </c>
      <c r="E105" s="388">
        <f>(SUM(D17:E17))*$D$105</f>
        <v>0</v>
      </c>
      <c r="F105" s="388">
        <f t="shared" ref="F105:F112" si="1">(SUM(F17:G17))*D105</f>
        <v>0</v>
      </c>
      <c r="G105" s="388">
        <f t="shared" ref="G105:G112" si="2">(SUM(H17:I17))*D105</f>
        <v>0</v>
      </c>
      <c r="H105" s="388">
        <f t="shared" ref="H105:H112" si="3">(SUM(J17:K17))*D105</f>
        <v>0</v>
      </c>
      <c r="I105" s="388">
        <f t="shared" ref="I105:I112" si="4">(SUM(L17:M17))*D105</f>
        <v>0</v>
      </c>
      <c r="J105" s="507"/>
      <c r="K105" s="507"/>
      <c r="L105" s="611" t="s">
        <v>515</v>
      </c>
      <c r="M105" s="507"/>
      <c r="N105" s="507"/>
      <c r="X105" s="161"/>
      <c r="Y105" s="161"/>
    </row>
    <row r="106" spans="1:25" hidden="1" x14ac:dyDescent="0.2">
      <c r="B106" s="592" t="s">
        <v>253</v>
      </c>
      <c r="C106" s="387"/>
      <c r="D106" s="578">
        <v>1.6</v>
      </c>
      <c r="E106" s="388">
        <f>(SUM(D18:E18))*$D$106</f>
        <v>0</v>
      </c>
      <c r="F106" s="388">
        <f t="shared" si="1"/>
        <v>0</v>
      </c>
      <c r="G106" s="388">
        <f t="shared" si="2"/>
        <v>0</v>
      </c>
      <c r="H106" s="388">
        <f t="shared" si="3"/>
        <v>0</v>
      </c>
      <c r="I106" s="388">
        <f t="shared" si="4"/>
        <v>0</v>
      </c>
      <c r="J106" s="507"/>
      <c r="K106" s="507"/>
      <c r="L106" s="610" t="s">
        <v>516</v>
      </c>
      <c r="M106" s="507"/>
      <c r="N106" s="507"/>
      <c r="X106" s="161"/>
      <c r="Y106" s="161"/>
    </row>
    <row r="107" spans="1:25" hidden="1" x14ac:dyDescent="0.2">
      <c r="B107" s="592" t="s">
        <v>258</v>
      </c>
      <c r="C107" s="387"/>
      <c r="D107" s="578">
        <v>1.2</v>
      </c>
      <c r="E107" s="388">
        <f>(SUM(D19:E19))*$D$107</f>
        <v>0</v>
      </c>
      <c r="F107" s="388">
        <f t="shared" si="1"/>
        <v>0</v>
      </c>
      <c r="G107" s="388">
        <f t="shared" si="2"/>
        <v>0</v>
      </c>
      <c r="H107" s="388">
        <f t="shared" si="3"/>
        <v>0</v>
      </c>
      <c r="I107" s="388">
        <f t="shared" si="4"/>
        <v>0</v>
      </c>
      <c r="J107" s="507"/>
      <c r="K107" s="507"/>
      <c r="L107" s="610"/>
      <c r="M107" s="507"/>
      <c r="N107" s="507"/>
      <c r="X107" s="161"/>
      <c r="Y107" s="161"/>
    </row>
    <row r="108" spans="1:25" hidden="1" x14ac:dyDescent="0.2">
      <c r="B108" s="592" t="s">
        <v>254</v>
      </c>
      <c r="C108" s="387"/>
      <c r="D108" s="578">
        <v>0.8</v>
      </c>
      <c r="E108" s="388">
        <f>(SUM(D20:E20))*$D$108</f>
        <v>0</v>
      </c>
      <c r="F108" s="388">
        <f t="shared" si="1"/>
        <v>0</v>
      </c>
      <c r="G108" s="388">
        <f t="shared" si="2"/>
        <v>0</v>
      </c>
      <c r="H108" s="388">
        <f t="shared" si="3"/>
        <v>0</v>
      </c>
      <c r="I108" s="388">
        <f t="shared" si="4"/>
        <v>0</v>
      </c>
      <c r="J108" s="507"/>
      <c r="K108" s="507"/>
      <c r="L108" s="523"/>
      <c r="M108" s="507"/>
      <c r="N108" s="507"/>
      <c r="X108" s="161"/>
      <c r="Y108" s="161"/>
    </row>
    <row r="109" spans="1:25" hidden="1" x14ac:dyDescent="0.2">
      <c r="B109" s="592" t="s">
        <v>255</v>
      </c>
      <c r="C109" s="387"/>
      <c r="D109" s="389">
        <v>1</v>
      </c>
      <c r="E109" s="388">
        <f>(SUM(D21:E21))*$D$109</f>
        <v>0</v>
      </c>
      <c r="F109" s="388">
        <f t="shared" si="1"/>
        <v>0</v>
      </c>
      <c r="G109" s="388">
        <f t="shared" si="2"/>
        <v>0</v>
      </c>
      <c r="H109" s="388">
        <f t="shared" si="3"/>
        <v>0</v>
      </c>
      <c r="I109" s="388">
        <f t="shared" si="4"/>
        <v>0</v>
      </c>
      <c r="J109" s="507"/>
      <c r="K109" s="507"/>
      <c r="L109" s="523"/>
      <c r="M109" s="507"/>
      <c r="N109" s="507"/>
      <c r="X109" s="161"/>
      <c r="Y109" s="161"/>
    </row>
    <row r="110" spans="1:25" hidden="1" x14ac:dyDescent="0.2">
      <c r="B110" s="592" t="s">
        <v>256</v>
      </c>
      <c r="C110" s="387"/>
      <c r="D110" s="578">
        <v>0.8</v>
      </c>
      <c r="E110" s="388">
        <f>(SUM(D22:E22))*$D$110</f>
        <v>0</v>
      </c>
      <c r="F110" s="388">
        <f t="shared" si="1"/>
        <v>0</v>
      </c>
      <c r="G110" s="388">
        <f t="shared" si="2"/>
        <v>0</v>
      </c>
      <c r="H110" s="388">
        <f t="shared" si="3"/>
        <v>0</v>
      </c>
      <c r="I110" s="388">
        <f t="shared" si="4"/>
        <v>0</v>
      </c>
      <c r="J110" s="507"/>
      <c r="K110" s="507"/>
      <c r="L110" s="523"/>
      <c r="M110" s="507"/>
      <c r="N110" s="507"/>
      <c r="X110" s="161"/>
      <c r="Y110" s="161"/>
    </row>
    <row r="111" spans="1:25" hidden="1" x14ac:dyDescent="0.2">
      <c r="B111" s="592" t="s">
        <v>257</v>
      </c>
      <c r="C111" s="387"/>
      <c r="D111" s="578">
        <v>0.6</v>
      </c>
      <c r="E111" s="388">
        <f>(SUM(D23:E23))*$D$111</f>
        <v>0</v>
      </c>
      <c r="F111" s="388">
        <f t="shared" si="1"/>
        <v>0</v>
      </c>
      <c r="G111" s="388">
        <f t="shared" si="2"/>
        <v>0</v>
      </c>
      <c r="H111" s="388">
        <f t="shared" si="3"/>
        <v>0</v>
      </c>
      <c r="I111" s="388">
        <f t="shared" si="4"/>
        <v>0</v>
      </c>
      <c r="J111" s="507"/>
      <c r="K111" s="507"/>
      <c r="L111" s="523"/>
      <c r="M111" s="507"/>
      <c r="N111" s="507"/>
      <c r="X111" s="161"/>
      <c r="Y111" s="161"/>
    </row>
    <row r="112" spans="1:25" hidden="1" x14ac:dyDescent="0.2">
      <c r="B112" s="592" t="s">
        <v>245</v>
      </c>
      <c r="C112" s="387"/>
      <c r="D112" s="578">
        <v>0.6</v>
      </c>
      <c r="E112" s="388">
        <f>(SUM(D24:E24))*$D$112</f>
        <v>0</v>
      </c>
      <c r="F112" s="388">
        <f t="shared" si="1"/>
        <v>0</v>
      </c>
      <c r="G112" s="388">
        <f t="shared" si="2"/>
        <v>0</v>
      </c>
      <c r="H112" s="388">
        <f t="shared" si="3"/>
        <v>0</v>
      </c>
      <c r="I112" s="388">
        <f t="shared" si="4"/>
        <v>0</v>
      </c>
      <c r="J112" s="507"/>
      <c r="K112" s="507"/>
      <c r="L112" s="523"/>
      <c r="M112" s="507"/>
      <c r="N112" s="507"/>
      <c r="X112" s="161"/>
      <c r="Y112" s="161"/>
    </row>
    <row r="113" spans="2:25" ht="15.75" hidden="1" thickBot="1" x14ac:dyDescent="0.25">
      <c r="B113" s="592" t="s">
        <v>44</v>
      </c>
      <c r="C113" s="387"/>
      <c r="D113" s="578">
        <v>21.2</v>
      </c>
      <c r="E113" s="388">
        <f>SUM(D25:E25)*$D$113</f>
        <v>0</v>
      </c>
      <c r="F113" s="388">
        <f>SUM(F25:G25)*D113</f>
        <v>0</v>
      </c>
      <c r="G113" s="388">
        <f>SUM(H25:I25)*D113</f>
        <v>0</v>
      </c>
      <c r="H113" s="388">
        <f>SUM(J25:K25)*D113</f>
        <v>0</v>
      </c>
      <c r="I113" s="388">
        <f>SUM(L25:M25)*D113</f>
        <v>0</v>
      </c>
      <c r="J113" s="507"/>
      <c r="K113" s="507"/>
      <c r="L113" s="523"/>
      <c r="M113" s="507"/>
      <c r="N113" s="507"/>
      <c r="X113" s="161"/>
      <c r="Y113" s="161"/>
    </row>
    <row r="114" spans="2:25" ht="15.75" hidden="1" thickBot="1" x14ac:dyDescent="0.25">
      <c r="B114" s="507"/>
      <c r="C114" s="507"/>
      <c r="D114" s="390" t="s">
        <v>283</v>
      </c>
      <c r="E114" s="558">
        <f>SUM(E105:E113)</f>
        <v>0</v>
      </c>
      <c r="F114" s="558">
        <f t="shared" ref="F114:I114" si="5">SUM(F105:F113)</f>
        <v>0</v>
      </c>
      <c r="G114" s="558">
        <f t="shared" si="5"/>
        <v>0</v>
      </c>
      <c r="H114" s="558">
        <f t="shared" si="5"/>
        <v>0</v>
      </c>
      <c r="I114" s="558">
        <f t="shared" si="5"/>
        <v>0</v>
      </c>
      <c r="J114" s="507"/>
      <c r="K114" s="507"/>
      <c r="L114" s="523"/>
      <c r="M114" s="507"/>
      <c r="N114" s="507"/>
      <c r="X114" s="161"/>
      <c r="Y114" s="161"/>
    </row>
    <row r="115" spans="2:25" hidden="1" x14ac:dyDescent="0.2">
      <c r="B115" s="507"/>
      <c r="C115" s="507"/>
      <c r="D115" s="507"/>
      <c r="E115" s="507"/>
      <c r="F115" s="507"/>
      <c r="G115" s="507"/>
      <c r="H115" s="507"/>
      <c r="I115" s="507"/>
      <c r="J115" s="507"/>
      <c r="K115" s="573"/>
      <c r="L115" s="507"/>
      <c r="M115" s="507"/>
      <c r="N115" s="523"/>
    </row>
    <row r="116" spans="2:25" hidden="1" x14ac:dyDescent="0.2">
      <c r="B116" s="507"/>
      <c r="C116" s="507"/>
      <c r="D116" s="507"/>
      <c r="E116" s="507"/>
      <c r="F116" s="507"/>
      <c r="G116" s="507"/>
      <c r="H116" s="507"/>
      <c r="I116" s="507"/>
      <c r="J116" s="507"/>
      <c r="K116" s="573"/>
      <c r="L116" s="507"/>
      <c r="M116" s="507"/>
      <c r="N116" s="507"/>
    </row>
    <row r="117" spans="2:25" hidden="1" x14ac:dyDescent="0.2">
      <c r="B117" s="507"/>
      <c r="C117" s="507"/>
      <c r="D117" s="507"/>
      <c r="E117" s="507"/>
      <c r="F117" s="507"/>
      <c r="G117" s="507"/>
      <c r="H117" s="507"/>
      <c r="I117" s="507"/>
      <c r="J117" s="507"/>
      <c r="K117" s="573"/>
      <c r="L117" s="507"/>
      <c r="M117" s="507"/>
      <c r="N117" s="507"/>
    </row>
    <row r="118" spans="2:25" hidden="1" x14ac:dyDescent="0.2">
      <c r="B118" s="507"/>
      <c r="C118" s="507"/>
      <c r="D118" s="507"/>
      <c r="E118" s="507"/>
      <c r="F118" s="507"/>
      <c r="G118" s="1096" t="s">
        <v>418</v>
      </c>
      <c r="H118" s="1096"/>
      <c r="I118" s="1096"/>
      <c r="J118" s="1096"/>
      <c r="K118" s="1096"/>
      <c r="L118" s="1096"/>
      <c r="M118" s="1096"/>
    </row>
    <row r="119" spans="2:25" ht="15.75" hidden="1" thickBot="1" x14ac:dyDescent="0.25">
      <c r="B119" s="507"/>
      <c r="C119" s="507"/>
      <c r="D119" s="507"/>
      <c r="E119" s="507"/>
      <c r="F119" s="507"/>
      <c r="G119" s="1096"/>
      <c r="H119" s="1096"/>
      <c r="I119" s="1096"/>
      <c r="J119" s="1096"/>
      <c r="K119" s="1096"/>
      <c r="L119" s="1096"/>
      <c r="M119" s="1096"/>
    </row>
    <row r="120" spans="2:25" ht="48" hidden="1" x14ac:dyDescent="0.2">
      <c r="B120" s="605" t="s">
        <v>215</v>
      </c>
      <c r="C120" s="606"/>
      <c r="D120" s="606"/>
      <c r="E120" s="607"/>
      <c r="F120" s="507"/>
      <c r="G120" s="586" t="s">
        <v>323</v>
      </c>
      <c r="H120" s="392" t="s">
        <v>419</v>
      </c>
      <c r="I120" s="288" t="s">
        <v>175</v>
      </c>
      <c r="J120" s="392" t="s">
        <v>420</v>
      </c>
      <c r="K120" s="288" t="s">
        <v>175</v>
      </c>
      <c r="L120" s="392" t="s">
        <v>421</v>
      </c>
      <c r="M120" s="288" t="s">
        <v>175</v>
      </c>
    </row>
    <row r="121" spans="2:25" hidden="1" x14ac:dyDescent="0.2">
      <c r="B121" s="599" t="s">
        <v>207</v>
      </c>
      <c r="C121" s="586" t="s">
        <v>217</v>
      </c>
      <c r="D121" s="898" t="s">
        <v>54</v>
      </c>
      <c r="E121" s="902"/>
      <c r="F121" s="507"/>
      <c r="G121" s="393">
        <f>(1000/I121)-10</f>
        <v>16.315789473684209</v>
      </c>
      <c r="H121" s="394">
        <f>('SITE DATA'!$F$26-(0.2*G121))^2/('SITE DATA'!$F$26+(0.8*G121))</f>
        <v>0.8157894736842104</v>
      </c>
      <c r="I121" s="395">
        <v>38</v>
      </c>
      <c r="J121" s="394">
        <f>('SITE DATA'!$F$27-(0.2*G121))^2/('SITE DATA'!$F$27+(0.8*G121))</f>
        <v>0.8157894736842104</v>
      </c>
      <c r="K121" s="395">
        <v>38</v>
      </c>
      <c r="L121" s="394">
        <f>('SITE DATA'!$F$28-(0.2*G121))^2/('SITE DATA'!$F$28+(0.8*G121))</f>
        <v>0.8157894736842104</v>
      </c>
      <c r="M121" s="395">
        <v>38</v>
      </c>
    </row>
    <row r="122" spans="2:25" hidden="1" x14ac:dyDescent="0.2">
      <c r="B122" s="600" t="s">
        <v>521</v>
      </c>
      <c r="C122" s="598">
        <v>0.35</v>
      </c>
      <c r="D122" s="1094">
        <v>0.85</v>
      </c>
      <c r="E122" s="1095"/>
      <c r="F122" s="507"/>
      <c r="G122" s="393">
        <f>(1000/I122)-10</f>
        <v>15.641025641025642</v>
      </c>
      <c r="H122" s="394">
        <f>('SITE DATA'!$F$26-(0.2*G122))^2/('SITE DATA'!$F$26+(0.8*G122))</f>
        <v>0.78205128205128227</v>
      </c>
      <c r="I122" s="395">
        <v>39</v>
      </c>
      <c r="J122" s="394">
        <f>('SITE DATA'!$F$27-(0.2*G122))^2/('SITE DATA'!$F$27+(0.8*G122))</f>
        <v>0.78205128205128227</v>
      </c>
      <c r="K122" s="395">
        <v>39</v>
      </c>
      <c r="L122" s="394">
        <f>('SITE DATA'!$F$28-(0.2*G122))^2/('SITE DATA'!$F$28+(0.8*G122))</f>
        <v>0.78205128205128227</v>
      </c>
      <c r="M122" s="395">
        <v>39</v>
      </c>
    </row>
    <row r="123" spans="2:25" hidden="1" x14ac:dyDescent="0.2">
      <c r="B123" s="600" t="s">
        <v>520</v>
      </c>
      <c r="C123" s="598">
        <v>0.4</v>
      </c>
      <c r="D123" s="1094">
        <v>0.85</v>
      </c>
      <c r="E123" s="1095"/>
      <c r="F123" s="507"/>
      <c r="G123" s="393">
        <f>(1000/I123)-10</f>
        <v>15</v>
      </c>
      <c r="H123" s="394">
        <f>('SITE DATA'!$F$26-(0.2*G123))^2/('SITE DATA'!$F$26+(0.8*G123))</f>
        <v>0.75</v>
      </c>
      <c r="I123" s="395">
        <v>40</v>
      </c>
      <c r="J123" s="394">
        <f>('SITE DATA'!$F$27-(0.2*G123))^2/('SITE DATA'!$F$27+(0.8*G123))</f>
        <v>0.75</v>
      </c>
      <c r="K123" s="395">
        <v>40</v>
      </c>
      <c r="L123" s="394">
        <f>('SITE DATA'!$F$28-(0.2*G123))^2/('SITE DATA'!$F$28+(0.8*G123))</f>
        <v>0.75</v>
      </c>
      <c r="M123" s="395">
        <v>40</v>
      </c>
    </row>
    <row r="124" spans="2:25" hidden="1" x14ac:dyDescent="0.2">
      <c r="B124" s="601" t="s">
        <v>208</v>
      </c>
      <c r="C124" s="598">
        <v>0.4</v>
      </c>
      <c r="D124" s="1094">
        <v>0.85</v>
      </c>
      <c r="E124" s="1095"/>
      <c r="F124" s="507"/>
      <c r="G124" s="393">
        <f>(1000/I124)-10</f>
        <v>14.390243902439025</v>
      </c>
      <c r="H124" s="394">
        <f>('SITE DATA'!$F$26-(0.2*G124))^2/('SITE DATA'!$F$26+(0.8*G124))</f>
        <v>0.71951219512195141</v>
      </c>
      <c r="I124" s="395">
        <v>41</v>
      </c>
      <c r="J124" s="394">
        <f>('SITE DATA'!$F$27-(0.2*G124))^2/('SITE DATA'!$F$27+(0.8*G124))</f>
        <v>0.71951219512195141</v>
      </c>
      <c r="K124" s="395">
        <v>41</v>
      </c>
      <c r="L124" s="394">
        <f>('SITE DATA'!$F$28-(0.2*G124))^2/('SITE DATA'!$F$28+(0.8*G124))</f>
        <v>0.71951219512195141</v>
      </c>
      <c r="M124" s="395">
        <v>41</v>
      </c>
    </row>
    <row r="125" spans="2:25" hidden="1" x14ac:dyDescent="0.2">
      <c r="B125" s="601" t="s">
        <v>51</v>
      </c>
      <c r="C125" s="598">
        <v>0.25</v>
      </c>
      <c r="D125" s="1094">
        <v>0.85</v>
      </c>
      <c r="E125" s="1095"/>
      <c r="F125" s="507"/>
      <c r="G125" s="393">
        <f>(1000/I125)-10</f>
        <v>13.80952380952381</v>
      </c>
      <c r="H125" s="394">
        <f>('SITE DATA'!$F$26-(0.2*G125))^2/('SITE DATA'!$F$26+(0.8*G125))</f>
        <v>0.69047619047619058</v>
      </c>
      <c r="I125" s="395">
        <v>42</v>
      </c>
      <c r="J125" s="394">
        <f>('SITE DATA'!$F$27-(0.2*G125))^2/('SITE DATA'!$F$27+(0.8*G125))</f>
        <v>0.69047619047619058</v>
      </c>
      <c r="K125" s="395">
        <v>42</v>
      </c>
      <c r="L125" s="394">
        <f>('SITE DATA'!$F$28-(0.2*G125))^2/('SITE DATA'!$F$28+(0.8*G125))</f>
        <v>0.69047619047619058</v>
      </c>
      <c r="M125" s="395">
        <v>42</v>
      </c>
    </row>
    <row r="126" spans="2:25" hidden="1" x14ac:dyDescent="0.2">
      <c r="B126" s="601" t="s">
        <v>209</v>
      </c>
      <c r="C126" s="598">
        <v>0.35</v>
      </c>
      <c r="D126" s="1094">
        <v>0.85</v>
      </c>
      <c r="E126" s="1095"/>
      <c r="F126" s="507"/>
      <c r="G126" s="393">
        <f t="shared" ref="G126:G181" si="6">(1000/I126)-10</f>
        <v>13.255813953488371</v>
      </c>
      <c r="H126" s="394">
        <f>('SITE DATA'!$F$26-(0.2*G126))^2/('SITE DATA'!$F$26+(0.8*G126))</f>
        <v>0.66279069767441856</v>
      </c>
      <c r="I126" s="395">
        <v>43</v>
      </c>
      <c r="J126" s="394">
        <f>('SITE DATA'!$F$27-(0.2*G126))^2/('SITE DATA'!$F$27+(0.8*G126))</f>
        <v>0.66279069767441856</v>
      </c>
      <c r="K126" s="395">
        <v>43</v>
      </c>
      <c r="L126" s="394">
        <f>('SITE DATA'!$F$28-(0.2*G126))^2/('SITE DATA'!$F$28+(0.8*G126))</f>
        <v>0.66279069767441856</v>
      </c>
      <c r="M126" s="395">
        <v>43</v>
      </c>
    </row>
    <row r="127" spans="2:25" hidden="1" x14ac:dyDescent="0.2">
      <c r="B127" s="601" t="s">
        <v>210</v>
      </c>
      <c r="C127" s="598">
        <v>0.2</v>
      </c>
      <c r="D127" s="1094">
        <v>0.35</v>
      </c>
      <c r="E127" s="1095"/>
      <c r="F127" s="507"/>
      <c r="G127" s="393">
        <f t="shared" si="6"/>
        <v>12.727272727272727</v>
      </c>
      <c r="H127" s="394">
        <f>('SITE DATA'!$F$26-(0.2*G127))^2/('SITE DATA'!$F$26+(0.8*G127))</f>
        <v>0.63636363636363635</v>
      </c>
      <c r="I127" s="395">
        <v>44</v>
      </c>
      <c r="J127" s="394">
        <f>('SITE DATA'!$F$27-(0.2*G127))^2/('SITE DATA'!$F$27+(0.8*G127))</f>
        <v>0.63636363636363635</v>
      </c>
      <c r="K127" s="395">
        <v>44</v>
      </c>
      <c r="L127" s="394">
        <f>('SITE DATA'!$F$28-(0.2*G127))^2/('SITE DATA'!$F$28+(0.8*G127))</f>
        <v>0.63636363636363635</v>
      </c>
      <c r="M127" s="395">
        <v>44</v>
      </c>
    </row>
    <row r="128" spans="2:25" hidden="1" x14ac:dyDescent="0.2">
      <c r="B128" s="601" t="s">
        <v>52</v>
      </c>
      <c r="C128" s="598">
        <v>0.2</v>
      </c>
      <c r="D128" s="1094">
        <v>0.35</v>
      </c>
      <c r="E128" s="1095"/>
      <c r="F128" s="507"/>
      <c r="G128" s="393">
        <f t="shared" si="6"/>
        <v>12.222222222222221</v>
      </c>
      <c r="H128" s="394">
        <f>('SITE DATA'!$F$26-(0.2*G128))^2/('SITE DATA'!$F$26+(0.8*G128))</f>
        <v>0.61111111111111116</v>
      </c>
      <c r="I128" s="395">
        <v>45</v>
      </c>
      <c r="J128" s="394">
        <f>('SITE DATA'!$F$27-(0.2*G128))^2/('SITE DATA'!$F$27+(0.8*G128))</f>
        <v>0.61111111111111116</v>
      </c>
      <c r="K128" s="395">
        <v>45</v>
      </c>
      <c r="L128" s="394">
        <f>('SITE DATA'!$F$28-(0.2*G128))^2/('SITE DATA'!$F$28+(0.8*G128))</f>
        <v>0.61111111111111116</v>
      </c>
      <c r="M128" s="395">
        <v>45</v>
      </c>
    </row>
    <row r="129" spans="2:13" hidden="1" x14ac:dyDescent="0.2">
      <c r="B129" s="601" t="s">
        <v>211</v>
      </c>
      <c r="C129" s="598">
        <v>0.3</v>
      </c>
      <c r="D129" s="1094">
        <v>0.6</v>
      </c>
      <c r="E129" s="1095"/>
      <c r="F129" s="507"/>
      <c r="G129" s="393">
        <f t="shared" si="6"/>
        <v>11.739130434782609</v>
      </c>
      <c r="H129" s="394">
        <f>('SITE DATA'!$F$26-(0.2*G129))^2/('SITE DATA'!$F$26+(0.8*G129))</f>
        <v>0.58695652173913049</v>
      </c>
      <c r="I129" s="395">
        <v>46</v>
      </c>
      <c r="J129" s="394">
        <f>('SITE DATA'!$F$27-(0.2*G129))^2/('SITE DATA'!$F$27+(0.8*G129))</f>
        <v>0.58695652173913049</v>
      </c>
      <c r="K129" s="395">
        <v>46</v>
      </c>
      <c r="L129" s="394">
        <f>('SITE DATA'!$F$28-(0.2*G129))^2/('SITE DATA'!$F$28+(0.8*G129))</f>
        <v>0.58695652173913049</v>
      </c>
      <c r="M129" s="395">
        <v>46</v>
      </c>
    </row>
    <row r="130" spans="2:13" hidden="1" x14ac:dyDescent="0.2">
      <c r="B130" s="601" t="s">
        <v>212</v>
      </c>
      <c r="C130" s="598">
        <v>0.3</v>
      </c>
      <c r="D130" s="1094">
        <v>0.85</v>
      </c>
      <c r="E130" s="1095"/>
      <c r="F130" s="507"/>
      <c r="G130" s="393">
        <f t="shared" si="6"/>
        <v>11.276595744680851</v>
      </c>
      <c r="H130" s="394">
        <f>('SITE DATA'!$F$26-(0.2*G130))^2/('SITE DATA'!$F$26+(0.8*G130))</f>
        <v>0.56382978723404253</v>
      </c>
      <c r="I130" s="395">
        <v>47</v>
      </c>
      <c r="J130" s="394">
        <f>('SITE DATA'!$F$27-(0.2*G130))^2/('SITE DATA'!$F$27+(0.8*G130))</f>
        <v>0.56382978723404253</v>
      </c>
      <c r="K130" s="395">
        <v>47</v>
      </c>
      <c r="L130" s="394">
        <f>('SITE DATA'!$F$28-(0.2*G130))^2/('SITE DATA'!$F$28+(0.8*G130))</f>
        <v>0.56382978723404253</v>
      </c>
      <c r="M130" s="395">
        <v>47</v>
      </c>
    </row>
    <row r="131" spans="2:13" hidden="1" x14ac:dyDescent="0.2">
      <c r="B131" s="601" t="s">
        <v>213</v>
      </c>
      <c r="C131" s="598">
        <v>0.1</v>
      </c>
      <c r="D131" s="1094">
        <v>0.5</v>
      </c>
      <c r="E131" s="1095"/>
      <c r="F131" s="507"/>
      <c r="G131" s="393">
        <f t="shared" si="6"/>
        <v>10.833333333333332</v>
      </c>
      <c r="H131" s="394">
        <f>('SITE DATA'!$F$26-(0.2*G131))^2/('SITE DATA'!$F$26+(0.8*G131))</f>
        <v>0.54166666666666663</v>
      </c>
      <c r="I131" s="395">
        <f>48</f>
        <v>48</v>
      </c>
      <c r="J131" s="394">
        <f>('SITE DATA'!$F$27-(0.2*G131))^2/('SITE DATA'!$F$27+(0.8*G131))</f>
        <v>0.54166666666666663</v>
      </c>
      <c r="K131" s="395">
        <f>48</f>
        <v>48</v>
      </c>
      <c r="L131" s="394">
        <f>('SITE DATA'!$F$28-(0.2*G131))^2/('SITE DATA'!$F$28+(0.8*G131))</f>
        <v>0.54166666666666663</v>
      </c>
      <c r="M131" s="395">
        <f>48</f>
        <v>48</v>
      </c>
    </row>
    <row r="132" spans="2:13" hidden="1" x14ac:dyDescent="0.2">
      <c r="B132" s="601" t="s">
        <v>53</v>
      </c>
      <c r="C132" s="598">
        <v>0</v>
      </c>
      <c r="D132" s="1094">
        <v>0</v>
      </c>
      <c r="E132" s="1095"/>
      <c r="F132" s="507"/>
      <c r="G132" s="393">
        <f t="shared" si="6"/>
        <v>10.408163265306122</v>
      </c>
      <c r="H132" s="394">
        <f>('SITE DATA'!$F$26-(0.2*G132))^2/('SITE DATA'!$F$26+(0.8*G132))</f>
        <v>0.52040816326530615</v>
      </c>
      <c r="I132" s="395">
        <f t="shared" ref="I132:I181" si="7">I131+1</f>
        <v>49</v>
      </c>
      <c r="J132" s="394">
        <f>('SITE DATA'!$F$27-(0.2*G132))^2/('SITE DATA'!$F$27+(0.8*G132))</f>
        <v>0.52040816326530615</v>
      </c>
      <c r="K132" s="395">
        <f t="shared" ref="K132:K181" si="8">K131+1</f>
        <v>49</v>
      </c>
      <c r="L132" s="394">
        <f>('SITE DATA'!$F$28-(0.2*G132))^2/('SITE DATA'!$F$28+(0.8*G132))</f>
        <v>0.52040816326530615</v>
      </c>
      <c r="M132" s="395">
        <f t="shared" ref="M132:M181" si="9">M131+1</f>
        <v>49</v>
      </c>
    </row>
    <row r="133" spans="2:13" hidden="1" x14ac:dyDescent="0.2">
      <c r="B133" s="601" t="s">
        <v>579</v>
      </c>
      <c r="C133" s="598">
        <v>0</v>
      </c>
      <c r="D133" s="1094">
        <v>0</v>
      </c>
      <c r="E133" s="1095"/>
      <c r="F133" s="507"/>
      <c r="G133" s="393">
        <f>(1000/I133)-10</f>
        <v>10</v>
      </c>
      <c r="H133" s="394">
        <f>('SITE DATA'!$F$26-(0.2*G133))^2/('SITE DATA'!$F$26+(0.8*G133))</f>
        <v>0.5</v>
      </c>
      <c r="I133" s="395">
        <f t="shared" si="7"/>
        <v>50</v>
      </c>
      <c r="J133" s="394">
        <f>('SITE DATA'!$F$27-(0.2*G133))^2/('SITE DATA'!$F$27+(0.8*G133))</f>
        <v>0.5</v>
      </c>
      <c r="K133" s="395">
        <f t="shared" si="8"/>
        <v>50</v>
      </c>
      <c r="L133" s="394">
        <f>('SITE DATA'!$F$28-(0.2*G133))^2/('SITE DATA'!$F$28+(0.8*G133))</f>
        <v>0.5</v>
      </c>
      <c r="M133" s="395">
        <f t="shared" si="9"/>
        <v>50</v>
      </c>
    </row>
    <row r="134" spans="2:13" ht="15.75" hidden="1" thickBot="1" x14ac:dyDescent="0.25">
      <c r="B134" s="602" t="s">
        <v>564</v>
      </c>
      <c r="C134" s="604">
        <f>IF(C13="Yes",G13,F134)</f>
        <v>1</v>
      </c>
      <c r="D134" s="1036" t="s">
        <v>563</v>
      </c>
      <c r="E134" s="1037"/>
      <c r="F134" s="616">
        <v>1</v>
      </c>
      <c r="G134" s="393">
        <f t="shared" si="6"/>
        <v>9.6078431372549034</v>
      </c>
      <c r="H134" s="394">
        <f>('SITE DATA'!$F$26-(0.2*G134))^2/('SITE DATA'!$F$26+(0.8*G134))</f>
        <v>0.48039215686274517</v>
      </c>
      <c r="I134" s="395">
        <f t="shared" si="7"/>
        <v>51</v>
      </c>
      <c r="J134" s="394">
        <f>('SITE DATA'!$F$27-(0.2*G134))^2/('SITE DATA'!$F$27+(0.8*G134))</f>
        <v>0.48039215686274517</v>
      </c>
      <c r="K134" s="395">
        <f t="shared" si="8"/>
        <v>51</v>
      </c>
      <c r="L134" s="394">
        <f>('SITE DATA'!$F$28-(0.2*G134))^2/('SITE DATA'!$F$28+(0.8*G134))</f>
        <v>0.48039215686274517</v>
      </c>
      <c r="M134" s="395">
        <f t="shared" si="9"/>
        <v>51</v>
      </c>
    </row>
    <row r="135" spans="2:13" hidden="1" x14ac:dyDescent="0.2">
      <c r="B135" s="514"/>
      <c r="C135" s="514"/>
      <c r="D135" s="507"/>
      <c r="E135" s="507"/>
      <c r="F135" s="507"/>
      <c r="G135" s="393">
        <f t="shared" si="6"/>
        <v>9.2307692307692299</v>
      </c>
      <c r="H135" s="394">
        <f>('SITE DATA'!$F$26-(0.2*G135))^2/('SITE DATA'!$F$26+(0.8*G135))</f>
        <v>0.46153846153846151</v>
      </c>
      <c r="I135" s="395">
        <f t="shared" si="7"/>
        <v>52</v>
      </c>
      <c r="J135" s="394">
        <f>('SITE DATA'!$F$27-(0.2*G135))^2/('SITE DATA'!$F$27+(0.8*G135))</f>
        <v>0.46153846153846151</v>
      </c>
      <c r="K135" s="395">
        <f t="shared" si="8"/>
        <v>52</v>
      </c>
      <c r="L135" s="394">
        <f>('SITE DATA'!$F$28-(0.2*G135))^2/('SITE DATA'!$F$28+(0.8*G135))</f>
        <v>0.46153846153846151</v>
      </c>
      <c r="M135" s="395">
        <f t="shared" si="9"/>
        <v>52</v>
      </c>
    </row>
    <row r="136" spans="2:13" hidden="1" x14ac:dyDescent="0.2">
      <c r="B136" s="514"/>
      <c r="C136" s="514"/>
      <c r="D136" s="507"/>
      <c r="E136" s="396"/>
      <c r="F136" s="507"/>
      <c r="G136" s="393">
        <f t="shared" si="6"/>
        <v>8.8679245283018879</v>
      </c>
      <c r="H136" s="394">
        <f>('SITE DATA'!$F$26-(0.2*G136))^2/('SITE DATA'!$F$26+(0.8*G136))</f>
        <v>0.44339622641509441</v>
      </c>
      <c r="I136" s="395">
        <f t="shared" si="7"/>
        <v>53</v>
      </c>
      <c r="J136" s="394">
        <f>('SITE DATA'!$F$27-(0.2*G136))^2/('SITE DATA'!$F$27+(0.8*G136))</f>
        <v>0.44339622641509441</v>
      </c>
      <c r="K136" s="395">
        <f t="shared" si="8"/>
        <v>53</v>
      </c>
      <c r="L136" s="394">
        <f>('SITE DATA'!$F$28-(0.2*G136))^2/('SITE DATA'!$F$28+(0.8*G136))</f>
        <v>0.44339622641509441</v>
      </c>
      <c r="M136" s="395">
        <f t="shared" si="9"/>
        <v>53</v>
      </c>
    </row>
    <row r="137" spans="2:13" hidden="1" x14ac:dyDescent="0.2">
      <c r="B137" s="507"/>
      <c r="C137" s="507"/>
      <c r="D137" s="507"/>
      <c r="E137" s="507"/>
      <c r="F137" s="507"/>
      <c r="G137" s="393">
        <f t="shared" si="6"/>
        <v>8.518518518518519</v>
      </c>
      <c r="H137" s="394">
        <f>('SITE DATA'!$F$26-(0.2*G137))^2/('SITE DATA'!$F$26+(0.8*G137))</f>
        <v>0.42592592592592599</v>
      </c>
      <c r="I137" s="395">
        <f t="shared" si="7"/>
        <v>54</v>
      </c>
      <c r="J137" s="394">
        <f>('SITE DATA'!$F$27-(0.2*G137))^2/('SITE DATA'!$F$27+(0.8*G137))</f>
        <v>0.42592592592592599</v>
      </c>
      <c r="K137" s="395">
        <f t="shared" si="8"/>
        <v>54</v>
      </c>
      <c r="L137" s="394">
        <f>('SITE DATA'!$F$28-(0.2*G137))^2/('SITE DATA'!$F$28+(0.8*G137))</f>
        <v>0.42592592592592599</v>
      </c>
      <c r="M137" s="395">
        <f t="shared" si="9"/>
        <v>54</v>
      </c>
    </row>
    <row r="138" spans="2:13" hidden="1" x14ac:dyDescent="0.2">
      <c r="B138" s="507"/>
      <c r="C138" s="507"/>
      <c r="D138" s="507"/>
      <c r="E138" s="507"/>
      <c r="F138" s="396"/>
      <c r="G138" s="393">
        <f t="shared" si="6"/>
        <v>8.1818181818181834</v>
      </c>
      <c r="H138" s="394">
        <f>('SITE DATA'!$F$26-(0.2*G138))^2/('SITE DATA'!$F$26+(0.8*G138))</f>
        <v>0.40909090909090912</v>
      </c>
      <c r="I138" s="395">
        <f t="shared" si="7"/>
        <v>55</v>
      </c>
      <c r="J138" s="394">
        <f>('SITE DATA'!$F$27-(0.2*G138))^2/('SITE DATA'!$F$27+(0.8*G138))</f>
        <v>0.40909090909090912</v>
      </c>
      <c r="K138" s="395">
        <f t="shared" si="8"/>
        <v>55</v>
      </c>
      <c r="L138" s="394">
        <f>('SITE DATA'!$F$28-(0.2*G138))^2/('SITE DATA'!$F$28+(0.8*G138))</f>
        <v>0.40909090909090912</v>
      </c>
      <c r="M138" s="395">
        <f t="shared" si="9"/>
        <v>55</v>
      </c>
    </row>
    <row r="139" spans="2:13" hidden="1" x14ac:dyDescent="0.2">
      <c r="B139" s="507"/>
      <c r="C139" s="507"/>
      <c r="D139" s="507"/>
      <c r="E139" s="507"/>
      <c r="F139" s="507"/>
      <c r="G139" s="393">
        <f t="shared" si="6"/>
        <v>7.8571428571428577</v>
      </c>
      <c r="H139" s="394">
        <f>('SITE DATA'!$F$26-(0.2*G139))^2/('SITE DATA'!$F$26+(0.8*G139))</f>
        <v>0.3928571428571429</v>
      </c>
      <c r="I139" s="395">
        <f t="shared" si="7"/>
        <v>56</v>
      </c>
      <c r="J139" s="394">
        <f>('SITE DATA'!$F$27-(0.2*G139))^2/('SITE DATA'!$F$27+(0.8*G139))</f>
        <v>0.3928571428571429</v>
      </c>
      <c r="K139" s="395">
        <f t="shared" si="8"/>
        <v>56</v>
      </c>
      <c r="L139" s="394">
        <f>('SITE DATA'!$F$28-(0.2*G139))^2/('SITE DATA'!$F$28+(0.8*G139))</f>
        <v>0.3928571428571429</v>
      </c>
      <c r="M139" s="395">
        <f t="shared" si="9"/>
        <v>56</v>
      </c>
    </row>
    <row r="140" spans="2:13" hidden="1" x14ac:dyDescent="0.2">
      <c r="B140" s="507"/>
      <c r="C140" s="507"/>
      <c r="D140" s="507"/>
      <c r="E140" s="507"/>
      <c r="F140" s="507"/>
      <c r="G140" s="393">
        <f t="shared" si="6"/>
        <v>7.5438596491228083</v>
      </c>
      <c r="H140" s="394">
        <f>('SITE DATA'!$F$26-(0.2*G140))^2/('SITE DATA'!$F$26+(0.8*G140))</f>
        <v>0.37719298245614041</v>
      </c>
      <c r="I140" s="395">
        <f t="shared" si="7"/>
        <v>57</v>
      </c>
      <c r="J140" s="394">
        <f>('SITE DATA'!$F$27-(0.2*G140))^2/('SITE DATA'!$F$27+(0.8*G140))</f>
        <v>0.37719298245614041</v>
      </c>
      <c r="K140" s="395">
        <f t="shared" si="8"/>
        <v>57</v>
      </c>
      <c r="L140" s="394">
        <f>('SITE DATA'!$F$28-(0.2*G140))^2/('SITE DATA'!$F$28+(0.8*G140))</f>
        <v>0.37719298245614041</v>
      </c>
      <c r="M140" s="395">
        <f t="shared" si="9"/>
        <v>57</v>
      </c>
    </row>
    <row r="141" spans="2:13" hidden="1" x14ac:dyDescent="0.2">
      <c r="B141" s="507"/>
      <c r="C141" s="507"/>
      <c r="D141" s="507"/>
      <c r="E141" s="507"/>
      <c r="F141" s="507"/>
      <c r="G141" s="393">
        <f t="shared" si="6"/>
        <v>7.2413793103448292</v>
      </c>
      <c r="H141" s="394">
        <f>('SITE DATA'!$F$26-(0.2*G141))^2/('SITE DATA'!$F$26+(0.8*G141))</f>
        <v>0.36206896551724144</v>
      </c>
      <c r="I141" s="395">
        <f t="shared" si="7"/>
        <v>58</v>
      </c>
      <c r="J141" s="394">
        <f>('SITE DATA'!$F$27-(0.2*G141))^2/('SITE DATA'!$F$27+(0.8*G141))</f>
        <v>0.36206896551724144</v>
      </c>
      <c r="K141" s="395">
        <f t="shared" si="8"/>
        <v>58</v>
      </c>
      <c r="L141" s="394">
        <f>('SITE DATA'!$F$28-(0.2*G141))^2/('SITE DATA'!$F$28+(0.8*G141))</f>
        <v>0.36206896551724144</v>
      </c>
      <c r="M141" s="395">
        <f t="shared" si="9"/>
        <v>58</v>
      </c>
    </row>
    <row r="142" spans="2:13" ht="15.75" hidden="1" thickBot="1" x14ac:dyDescent="0.25">
      <c r="B142" s="507"/>
      <c r="C142" s="507"/>
      <c r="D142" s="507"/>
      <c r="E142" s="507"/>
      <c r="F142" s="507"/>
      <c r="G142" s="393">
        <f t="shared" si="6"/>
        <v>6.9491525423728824</v>
      </c>
      <c r="H142" s="394">
        <f>('SITE DATA'!$F$26-(0.2*G142))^2/('SITE DATA'!$F$26+(0.8*G142))</f>
        <v>0.34745762711864414</v>
      </c>
      <c r="I142" s="395">
        <f t="shared" si="7"/>
        <v>59</v>
      </c>
      <c r="J142" s="394">
        <f>('SITE DATA'!$F$27-(0.2*G142))^2/('SITE DATA'!$F$27+(0.8*G142))</f>
        <v>0.34745762711864414</v>
      </c>
      <c r="K142" s="395">
        <f t="shared" si="8"/>
        <v>59</v>
      </c>
      <c r="L142" s="394">
        <f>('SITE DATA'!$F$28-(0.2*G142))^2/('SITE DATA'!$F$28+(0.8*G142))</f>
        <v>0.34745762711864414</v>
      </c>
      <c r="M142" s="395">
        <f t="shared" si="9"/>
        <v>59</v>
      </c>
    </row>
    <row r="143" spans="2:13" ht="16.5" hidden="1" thickBot="1" x14ac:dyDescent="0.3">
      <c r="B143" s="612" t="s">
        <v>532</v>
      </c>
      <c r="C143" s="543"/>
      <c r="D143" s="544"/>
      <c r="E143" s="507"/>
      <c r="F143" s="507"/>
      <c r="G143" s="393">
        <f t="shared" si="6"/>
        <v>6.6666666666666679</v>
      </c>
      <c r="H143" s="394">
        <f>('SITE DATA'!$F$26-(0.2*G143))^2/('SITE DATA'!$F$26+(0.8*G143))</f>
        <v>0.33333333333333343</v>
      </c>
      <c r="I143" s="395">
        <f t="shared" si="7"/>
        <v>60</v>
      </c>
      <c r="J143" s="394">
        <f>('SITE DATA'!$F$27-(0.2*G143))^2/('SITE DATA'!$F$27+(0.8*G143))</f>
        <v>0.33333333333333343</v>
      </c>
      <c r="K143" s="395">
        <f t="shared" si="8"/>
        <v>60</v>
      </c>
      <c r="L143" s="394">
        <f>('SITE DATA'!$F$28-(0.2*G143))^2/('SITE DATA'!$F$28+(0.8*G143))</f>
        <v>0.33333333333333343</v>
      </c>
      <c r="M143" s="395">
        <f t="shared" si="9"/>
        <v>60</v>
      </c>
    </row>
    <row r="144" spans="2:13" hidden="1" x14ac:dyDescent="0.2">
      <c r="B144" s="530"/>
      <c r="C144" s="512"/>
      <c r="D144" s="522"/>
      <c r="E144" s="507"/>
      <c r="F144" s="507"/>
      <c r="G144" s="393">
        <f t="shared" si="6"/>
        <v>6.3934426229508183</v>
      </c>
      <c r="H144" s="394">
        <f>('SITE DATA'!$F$26-(0.2*G144))^2/('SITE DATA'!$F$26+(0.8*G144))</f>
        <v>0.31967213114754095</v>
      </c>
      <c r="I144" s="395">
        <f t="shared" si="7"/>
        <v>61</v>
      </c>
      <c r="J144" s="394">
        <f>('SITE DATA'!$F$27-(0.2*G144))^2/('SITE DATA'!$F$27+(0.8*G144))</f>
        <v>0.31967213114754095</v>
      </c>
      <c r="K144" s="395">
        <f t="shared" si="8"/>
        <v>61</v>
      </c>
      <c r="L144" s="394">
        <f>('SITE DATA'!$F$28-(0.2*G144))^2/('SITE DATA'!$F$28+(0.8*G144))</f>
        <v>0.31967213114754095</v>
      </c>
      <c r="M144" s="395">
        <f t="shared" si="9"/>
        <v>61</v>
      </c>
    </row>
    <row r="145" spans="2:13" ht="19.5" hidden="1" x14ac:dyDescent="0.35">
      <c r="B145" s="509" t="s">
        <v>534</v>
      </c>
      <c r="C145" s="506"/>
      <c r="D145" s="513"/>
      <c r="E145" s="507"/>
      <c r="F145" s="507"/>
      <c r="G145" s="393">
        <f t="shared" si="6"/>
        <v>6.129032258064516</v>
      </c>
      <c r="H145" s="394">
        <f>('SITE DATA'!$F$26-(0.2*G145))^2/('SITE DATA'!$F$26+(0.8*G145))</f>
        <v>0.30645161290322581</v>
      </c>
      <c r="I145" s="395">
        <f t="shared" si="7"/>
        <v>62</v>
      </c>
      <c r="J145" s="394">
        <f>('SITE DATA'!$F$27-(0.2*G145))^2/('SITE DATA'!$F$27+(0.8*G145))</f>
        <v>0.30645161290322581</v>
      </c>
      <c r="K145" s="395">
        <f t="shared" si="8"/>
        <v>62</v>
      </c>
      <c r="L145" s="394">
        <f>('SITE DATA'!$F$28-(0.2*G145))^2/('SITE DATA'!$F$28+(0.8*G145))</f>
        <v>0.30645161290322581</v>
      </c>
      <c r="M145" s="395">
        <f t="shared" si="9"/>
        <v>62</v>
      </c>
    </row>
    <row r="146" spans="2:13" hidden="1" x14ac:dyDescent="0.2">
      <c r="B146" s="509" t="s">
        <v>535</v>
      </c>
      <c r="C146" s="506"/>
      <c r="D146" s="513"/>
      <c r="E146" s="507"/>
      <c r="F146" s="507"/>
      <c r="G146" s="393">
        <f t="shared" si="6"/>
        <v>5.8730158730158735</v>
      </c>
      <c r="H146" s="394">
        <f>('SITE DATA'!$F$26-(0.2*G146))^2/('SITE DATA'!$F$26+(0.8*G146))</f>
        <v>0.29365079365079366</v>
      </c>
      <c r="I146" s="395">
        <f t="shared" si="7"/>
        <v>63</v>
      </c>
      <c r="J146" s="394">
        <f>('SITE DATA'!$F$27-(0.2*G146))^2/('SITE DATA'!$F$27+(0.8*G146))</f>
        <v>0.29365079365079366</v>
      </c>
      <c r="K146" s="395">
        <f t="shared" si="8"/>
        <v>63</v>
      </c>
      <c r="L146" s="394">
        <f>('SITE DATA'!$F$28-(0.2*G146))^2/('SITE DATA'!$F$28+(0.8*G146))</f>
        <v>0.29365079365079366</v>
      </c>
      <c r="M146" s="395">
        <f t="shared" si="9"/>
        <v>63</v>
      </c>
    </row>
    <row r="147" spans="2:13" hidden="1" x14ac:dyDescent="0.2">
      <c r="B147" s="509" t="s">
        <v>539</v>
      </c>
      <c r="C147" s="506"/>
      <c r="D147" s="513"/>
      <c r="E147" s="507"/>
      <c r="F147" s="507"/>
      <c r="G147" s="393">
        <f t="shared" si="6"/>
        <v>5.625</v>
      </c>
      <c r="H147" s="394">
        <f>('SITE DATA'!$F$26-(0.2*G147))^2/('SITE DATA'!$F$26+(0.8*G147))</f>
        <v>0.28125</v>
      </c>
      <c r="I147" s="395">
        <f t="shared" si="7"/>
        <v>64</v>
      </c>
      <c r="J147" s="394">
        <f>('SITE DATA'!$F$27-(0.2*G147))^2/('SITE DATA'!$F$27+(0.8*G147))</f>
        <v>0.28125</v>
      </c>
      <c r="K147" s="395">
        <f t="shared" si="8"/>
        <v>64</v>
      </c>
      <c r="L147" s="394">
        <f>('SITE DATA'!$F$28-(0.2*G147))^2/('SITE DATA'!$F$28+(0.8*G147))</f>
        <v>0.28125</v>
      </c>
      <c r="M147" s="395">
        <f t="shared" si="9"/>
        <v>64</v>
      </c>
    </row>
    <row r="148" spans="2:13" ht="19.5" hidden="1" x14ac:dyDescent="0.35">
      <c r="B148" s="509" t="s">
        <v>541</v>
      </c>
      <c r="C148" s="506"/>
      <c r="D148" s="513"/>
      <c r="E148" s="507"/>
      <c r="F148" s="507"/>
      <c r="G148" s="393">
        <f t="shared" si="6"/>
        <v>5.384615384615385</v>
      </c>
      <c r="H148" s="394">
        <f>('SITE DATA'!$F$26-(0.2*G148))^2/('SITE DATA'!$F$26+(0.8*G148))</f>
        <v>0.26923076923076927</v>
      </c>
      <c r="I148" s="395">
        <f t="shared" si="7"/>
        <v>65</v>
      </c>
      <c r="J148" s="394">
        <f>('SITE DATA'!$F$27-(0.2*G148))^2/('SITE DATA'!$F$27+(0.8*G148))</f>
        <v>0.26923076923076927</v>
      </c>
      <c r="K148" s="395">
        <f t="shared" si="8"/>
        <v>65</v>
      </c>
      <c r="L148" s="394">
        <f>('SITE DATA'!$F$28-(0.2*G148))^2/('SITE DATA'!$F$28+(0.8*G148))</f>
        <v>0.26923076923076927</v>
      </c>
      <c r="M148" s="395">
        <f t="shared" si="9"/>
        <v>65</v>
      </c>
    </row>
    <row r="149" spans="2:13" hidden="1" x14ac:dyDescent="0.2">
      <c r="B149" s="538"/>
      <c r="C149" s="511" t="s">
        <v>543</v>
      </c>
      <c r="D149" s="613" t="e">
        <f>(SUM(D25:E25))/SUM(D17:M25)</f>
        <v>#DIV/0!</v>
      </c>
      <c r="E149" s="507"/>
      <c r="F149" s="507"/>
      <c r="G149" s="393">
        <f t="shared" si="6"/>
        <v>5.1515151515151523</v>
      </c>
      <c r="H149" s="394">
        <f>('SITE DATA'!$F$26-(0.2*G149))^2/('SITE DATA'!$F$26+(0.8*G149))</f>
        <v>0.25757575757575762</v>
      </c>
      <c r="I149" s="395">
        <f t="shared" si="7"/>
        <v>66</v>
      </c>
      <c r="J149" s="394">
        <f>('SITE DATA'!$F$27-(0.2*G149))^2/('SITE DATA'!$F$27+(0.8*G149))</f>
        <v>0.25757575757575762</v>
      </c>
      <c r="K149" s="395">
        <f t="shared" si="8"/>
        <v>66</v>
      </c>
      <c r="L149" s="394">
        <f>('SITE DATA'!$F$28-(0.2*G149))^2/('SITE DATA'!$F$28+(0.8*G149))</f>
        <v>0.25757575757575762</v>
      </c>
      <c r="M149" s="395">
        <f t="shared" si="9"/>
        <v>66</v>
      </c>
    </row>
    <row r="150" spans="2:13" ht="24" hidden="1" thickBot="1" x14ac:dyDescent="0.4">
      <c r="B150" s="540" t="s">
        <v>569</v>
      </c>
      <c r="C150" s="511" t="s">
        <v>547</v>
      </c>
      <c r="D150" s="539" t="e">
        <f>0.05+(0.9*D149)</f>
        <v>#DIV/0!</v>
      </c>
      <c r="E150" s="507" t="s">
        <v>726</v>
      </c>
      <c r="F150" s="507"/>
      <c r="G150" s="393">
        <f t="shared" si="6"/>
        <v>4.9253731343283587</v>
      </c>
      <c r="H150" s="394">
        <f>('SITE DATA'!$F$26-(0.2*G150))^2/('SITE DATA'!$F$26+(0.8*G150))</f>
        <v>0.24626865671641796</v>
      </c>
      <c r="I150" s="395">
        <f t="shared" si="7"/>
        <v>67</v>
      </c>
      <c r="J150" s="394">
        <f>('SITE DATA'!$F$27-(0.2*G150))^2/('SITE DATA'!$F$27+(0.8*G150))</f>
        <v>0.24626865671641796</v>
      </c>
      <c r="K150" s="395">
        <f t="shared" si="8"/>
        <v>67</v>
      </c>
      <c r="L150" s="394">
        <f>('SITE DATA'!$F$28-(0.2*G150))^2/('SITE DATA'!$F$28+(0.8*G150))</f>
        <v>0.24626865671641796</v>
      </c>
      <c r="M150" s="395">
        <f t="shared" si="9"/>
        <v>67</v>
      </c>
    </row>
    <row r="151" spans="2:13" ht="24" hidden="1" thickBot="1" x14ac:dyDescent="0.4">
      <c r="B151" s="540"/>
      <c r="C151" s="534" t="s">
        <v>549</v>
      </c>
      <c r="D151" s="535" t="e">
        <f>3630*1*D150*SUM(D17:E25)</f>
        <v>#DIV/0!</v>
      </c>
      <c r="E151" s="615" t="e">
        <f>D151</f>
        <v>#DIV/0!</v>
      </c>
      <c r="F151" s="507"/>
      <c r="G151" s="393">
        <f t="shared" si="6"/>
        <v>4.7058823529411757</v>
      </c>
      <c r="H151" s="394">
        <f>('SITE DATA'!$F$26-(0.2*G151))^2/('SITE DATA'!$F$26+(0.8*G151))</f>
        <v>0.23529411764705879</v>
      </c>
      <c r="I151" s="395">
        <f t="shared" si="7"/>
        <v>68</v>
      </c>
      <c r="J151" s="394">
        <f>('SITE DATA'!$F$27-(0.2*G151))^2/('SITE DATA'!$F$27+(0.8*G151))</f>
        <v>0.23529411764705879</v>
      </c>
      <c r="K151" s="395">
        <f t="shared" si="8"/>
        <v>68</v>
      </c>
      <c r="L151" s="394">
        <f>('SITE DATA'!$F$28-(0.2*G151))^2/('SITE DATA'!$F$28+(0.8*G151))</f>
        <v>0.23529411764705879</v>
      </c>
      <c r="M151" s="395">
        <f t="shared" si="9"/>
        <v>68</v>
      </c>
    </row>
    <row r="152" spans="2:13" ht="15.75" hidden="1" thickBot="1" x14ac:dyDescent="0.25">
      <c r="B152" s="541"/>
      <c r="C152" s="537"/>
      <c r="D152" s="531"/>
      <c r="E152" s="507"/>
      <c r="F152" s="507"/>
      <c r="G152" s="393">
        <f t="shared" si="6"/>
        <v>4.4927536231884062</v>
      </c>
      <c r="H152" s="394">
        <f>('SITE DATA'!$F$26-(0.2*G152))^2/('SITE DATA'!$F$26+(0.8*G152))</f>
        <v>0.22463768115942032</v>
      </c>
      <c r="I152" s="395">
        <f t="shared" si="7"/>
        <v>69</v>
      </c>
      <c r="J152" s="394">
        <f>('SITE DATA'!$F$27-(0.2*G152))^2/('SITE DATA'!$F$27+(0.8*G152))</f>
        <v>0.22463768115942032</v>
      </c>
      <c r="K152" s="395">
        <f t="shared" si="8"/>
        <v>69</v>
      </c>
      <c r="L152" s="394">
        <f>('SITE DATA'!$F$28-(0.2*G152))^2/('SITE DATA'!$F$28+(0.8*G152))</f>
        <v>0.22463768115942032</v>
      </c>
      <c r="M152" s="395">
        <f t="shared" si="9"/>
        <v>69</v>
      </c>
    </row>
    <row r="153" spans="2:13" hidden="1" x14ac:dyDescent="0.2">
      <c r="B153" s="538"/>
      <c r="C153" s="511" t="s">
        <v>543</v>
      </c>
      <c r="D153" s="613" t="e">
        <f>(SUM(F25:G25))/SUM(D17:M25)</f>
        <v>#DIV/0!</v>
      </c>
      <c r="E153" s="507"/>
      <c r="F153" s="507"/>
      <c r="G153" s="393">
        <f t="shared" si="6"/>
        <v>4.2857142857142865</v>
      </c>
      <c r="H153" s="394">
        <f>('SITE DATA'!$F$26-(0.2*G153))^2/('SITE DATA'!$F$26+(0.8*G153))</f>
        <v>0.21428571428571433</v>
      </c>
      <c r="I153" s="395">
        <f t="shared" si="7"/>
        <v>70</v>
      </c>
      <c r="J153" s="394">
        <f>('SITE DATA'!$F$27-(0.2*G153))^2/('SITE DATA'!$F$27+(0.8*G153))</f>
        <v>0.21428571428571433</v>
      </c>
      <c r="K153" s="395">
        <f t="shared" si="8"/>
        <v>70</v>
      </c>
      <c r="L153" s="394">
        <f>('SITE DATA'!$F$28-(0.2*G153))^2/('SITE DATA'!$F$28+(0.8*G153))</f>
        <v>0.21428571428571433</v>
      </c>
      <c r="M153" s="395">
        <f t="shared" si="9"/>
        <v>70</v>
      </c>
    </row>
    <row r="154" spans="2:13" ht="24" hidden="1" thickBot="1" x14ac:dyDescent="0.4">
      <c r="B154" s="540" t="s">
        <v>570</v>
      </c>
      <c r="C154" s="511" t="s">
        <v>547</v>
      </c>
      <c r="D154" s="539" t="e">
        <f>0.05+(0.9*D153)</f>
        <v>#DIV/0!</v>
      </c>
      <c r="E154" s="507"/>
      <c r="F154" s="507"/>
      <c r="G154" s="393">
        <f t="shared" si="6"/>
        <v>4.0845070422535219</v>
      </c>
      <c r="H154" s="394">
        <f>('SITE DATA'!$F$26-(0.2*G154))^2/('SITE DATA'!$F$26+(0.8*G154))</f>
        <v>0.20422535211267612</v>
      </c>
      <c r="I154" s="395">
        <f t="shared" si="7"/>
        <v>71</v>
      </c>
      <c r="J154" s="394">
        <f>('SITE DATA'!$F$27-(0.2*G154))^2/('SITE DATA'!$F$27+(0.8*G154))</f>
        <v>0.20422535211267612</v>
      </c>
      <c r="K154" s="395">
        <f t="shared" si="8"/>
        <v>71</v>
      </c>
      <c r="L154" s="394">
        <f>('SITE DATA'!$F$28-(0.2*G154))^2/('SITE DATA'!$F$28+(0.8*G154))</f>
        <v>0.20422535211267612</v>
      </c>
      <c r="M154" s="395">
        <f t="shared" si="9"/>
        <v>71</v>
      </c>
    </row>
    <row r="155" spans="2:13" ht="24" hidden="1" thickBot="1" x14ac:dyDescent="0.4">
      <c r="B155" s="540"/>
      <c r="C155" s="534" t="s">
        <v>549</v>
      </c>
      <c r="D155" s="535" t="e">
        <f>3630*1*D154*SUM(F17:G25)</f>
        <v>#DIV/0!</v>
      </c>
      <c r="E155" s="615" t="e">
        <f>D155</f>
        <v>#DIV/0!</v>
      </c>
      <c r="F155" s="507"/>
      <c r="G155" s="393">
        <f t="shared" si="6"/>
        <v>3.8888888888888893</v>
      </c>
      <c r="H155" s="394">
        <f>('SITE DATA'!$F$26-(0.2*G155))^2/('SITE DATA'!$F$26+(0.8*G155))</f>
        <v>0.1944444444444445</v>
      </c>
      <c r="I155" s="395">
        <f t="shared" si="7"/>
        <v>72</v>
      </c>
      <c r="J155" s="394">
        <f>('SITE DATA'!$F$27-(0.2*G155))^2/('SITE DATA'!$F$27+(0.8*G155))</f>
        <v>0.1944444444444445</v>
      </c>
      <c r="K155" s="395">
        <f t="shared" si="8"/>
        <v>72</v>
      </c>
      <c r="L155" s="394">
        <f>('SITE DATA'!$F$28-(0.2*G155))^2/('SITE DATA'!$F$28+(0.8*G155))</f>
        <v>0.1944444444444445</v>
      </c>
      <c r="M155" s="395">
        <f t="shared" si="9"/>
        <v>72</v>
      </c>
    </row>
    <row r="156" spans="2:13" ht="15.75" hidden="1" thickBot="1" x14ac:dyDescent="0.25">
      <c r="B156" s="541"/>
      <c r="C156" s="537"/>
      <c r="D156" s="531"/>
      <c r="E156" s="507"/>
      <c r="F156" s="507"/>
      <c r="G156" s="393">
        <f t="shared" si="6"/>
        <v>3.6986301369863011</v>
      </c>
      <c r="H156" s="394">
        <f>('SITE DATA'!$F$26-(0.2*G156))^2/('SITE DATA'!$F$26+(0.8*G156))</f>
        <v>0.18493150684931509</v>
      </c>
      <c r="I156" s="395">
        <f t="shared" si="7"/>
        <v>73</v>
      </c>
      <c r="J156" s="394">
        <f>('SITE DATA'!$F$27-(0.2*G156))^2/('SITE DATA'!$F$27+(0.8*G156))</f>
        <v>0.18493150684931509</v>
      </c>
      <c r="K156" s="395">
        <f t="shared" si="8"/>
        <v>73</v>
      </c>
      <c r="L156" s="394">
        <f>('SITE DATA'!$F$28-(0.2*G156))^2/('SITE DATA'!$F$28+(0.8*G156))</f>
        <v>0.18493150684931509</v>
      </c>
      <c r="M156" s="395">
        <f t="shared" si="9"/>
        <v>73</v>
      </c>
    </row>
    <row r="157" spans="2:13" hidden="1" x14ac:dyDescent="0.2">
      <c r="B157" s="538"/>
      <c r="C157" s="511" t="s">
        <v>543</v>
      </c>
      <c r="D157" s="613" t="e">
        <f>(SUM(H25:I25))/SUM(D17:M25)</f>
        <v>#DIV/0!</v>
      </c>
      <c r="E157" s="507"/>
      <c r="F157" s="507"/>
      <c r="G157" s="393">
        <f t="shared" si="6"/>
        <v>3.513513513513514</v>
      </c>
      <c r="H157" s="394">
        <f>('SITE DATA'!$F$26-(0.2*G157))^2/('SITE DATA'!$F$26+(0.8*G157))</f>
        <v>0.17567567567567571</v>
      </c>
      <c r="I157" s="395">
        <f t="shared" si="7"/>
        <v>74</v>
      </c>
      <c r="J157" s="394">
        <f>('SITE DATA'!$F$27-(0.2*G157))^2/('SITE DATA'!$F$27+(0.8*G157))</f>
        <v>0.17567567567567571</v>
      </c>
      <c r="K157" s="395">
        <f t="shared" si="8"/>
        <v>74</v>
      </c>
      <c r="L157" s="394">
        <f>('SITE DATA'!$F$28-(0.2*G157))^2/('SITE DATA'!$F$28+(0.8*G157))</f>
        <v>0.17567567567567571</v>
      </c>
      <c r="M157" s="395">
        <f t="shared" si="9"/>
        <v>74</v>
      </c>
    </row>
    <row r="158" spans="2:13" ht="24" hidden="1" thickBot="1" x14ac:dyDescent="0.4">
      <c r="B158" s="540" t="s">
        <v>571</v>
      </c>
      <c r="C158" s="511" t="s">
        <v>547</v>
      </c>
      <c r="D158" s="539" t="e">
        <f>0.05+(0.9*D157)</f>
        <v>#DIV/0!</v>
      </c>
      <c r="E158" s="507"/>
      <c r="F158" s="507"/>
      <c r="G158" s="393">
        <f t="shared" si="6"/>
        <v>3.3333333333333339</v>
      </c>
      <c r="H158" s="394">
        <f>('SITE DATA'!$F$26-(0.2*G158))^2/('SITE DATA'!$F$26+(0.8*G158))</f>
        <v>0.16666666666666671</v>
      </c>
      <c r="I158" s="395">
        <f t="shared" si="7"/>
        <v>75</v>
      </c>
      <c r="J158" s="394">
        <f>('SITE DATA'!$F$27-(0.2*G158))^2/('SITE DATA'!$F$27+(0.8*G158))</f>
        <v>0.16666666666666671</v>
      </c>
      <c r="K158" s="395">
        <f t="shared" si="8"/>
        <v>75</v>
      </c>
      <c r="L158" s="394">
        <f>('SITE DATA'!$F$28-(0.2*G158))^2/('SITE DATA'!$F$28+(0.8*G158))</f>
        <v>0.16666666666666671</v>
      </c>
      <c r="M158" s="395">
        <f t="shared" si="9"/>
        <v>75</v>
      </c>
    </row>
    <row r="159" spans="2:13" ht="24" hidden="1" thickBot="1" x14ac:dyDescent="0.4">
      <c r="B159" s="540"/>
      <c r="C159" s="534" t="s">
        <v>549</v>
      </c>
      <c r="D159" s="535" t="e">
        <f>3630*1*D158*SUM(H17:I25)</f>
        <v>#DIV/0!</v>
      </c>
      <c r="E159" s="615" t="e">
        <f>D159</f>
        <v>#DIV/0!</v>
      </c>
      <c r="F159" s="507"/>
      <c r="G159" s="393">
        <f t="shared" si="6"/>
        <v>3.1578947368421044</v>
      </c>
      <c r="H159" s="394">
        <f>('SITE DATA'!$F$26-(0.2*G159))^2/('SITE DATA'!$F$26+(0.8*G159))</f>
        <v>0.15789473684210523</v>
      </c>
      <c r="I159" s="586">
        <f t="shared" si="7"/>
        <v>76</v>
      </c>
      <c r="J159" s="394">
        <f>('SITE DATA'!$F$27-(0.2*G159))^2/('SITE DATA'!$F$27+(0.8*G159))</f>
        <v>0.15789473684210523</v>
      </c>
      <c r="K159" s="586">
        <f t="shared" si="8"/>
        <v>76</v>
      </c>
      <c r="L159" s="394">
        <f>('SITE DATA'!$F$28-(0.2*G159))^2/('SITE DATA'!$F$28+(0.8*G159))</f>
        <v>0.15789473684210523</v>
      </c>
      <c r="M159" s="586">
        <f t="shared" si="9"/>
        <v>76</v>
      </c>
    </row>
    <row r="160" spans="2:13" ht="15.75" hidden="1" thickBot="1" x14ac:dyDescent="0.25">
      <c r="B160" s="541"/>
      <c r="C160" s="537"/>
      <c r="D160" s="531"/>
      <c r="E160" s="507"/>
      <c r="F160" s="507"/>
      <c r="G160" s="393">
        <f t="shared" si="6"/>
        <v>2.9870129870129869</v>
      </c>
      <c r="H160" s="394">
        <f>('SITE DATA'!$F$26-(0.2*G160))^2/('SITE DATA'!$F$26+(0.8*G160))</f>
        <v>0.14935064935064934</v>
      </c>
      <c r="I160" s="586">
        <f t="shared" si="7"/>
        <v>77</v>
      </c>
      <c r="J160" s="394">
        <f>('SITE DATA'!$F$27-(0.2*G160))^2/('SITE DATA'!$F$27+(0.8*G160))</f>
        <v>0.14935064935064934</v>
      </c>
      <c r="K160" s="586">
        <f t="shared" si="8"/>
        <v>77</v>
      </c>
      <c r="L160" s="394">
        <f>('SITE DATA'!$F$28-(0.2*G160))^2/('SITE DATA'!$F$28+(0.8*G160))</f>
        <v>0.14935064935064934</v>
      </c>
      <c r="M160" s="586">
        <f t="shared" si="9"/>
        <v>77</v>
      </c>
    </row>
    <row r="161" spans="2:13" hidden="1" x14ac:dyDescent="0.2">
      <c r="B161" s="538"/>
      <c r="C161" s="511" t="s">
        <v>543</v>
      </c>
      <c r="D161" s="613" t="e">
        <f>(SUM(J25:K25))/SUM(D17:M25)</f>
        <v>#DIV/0!</v>
      </c>
      <c r="E161" s="507"/>
      <c r="F161" s="507"/>
      <c r="G161" s="393">
        <f t="shared" si="6"/>
        <v>2.8205128205128212</v>
      </c>
      <c r="H161" s="394">
        <f>('SITE DATA'!$F$26-(0.2*G161))^2/('SITE DATA'!$F$26+(0.8*G161))</f>
        <v>0.14102564102564105</v>
      </c>
      <c r="I161" s="586">
        <f t="shared" si="7"/>
        <v>78</v>
      </c>
      <c r="J161" s="394">
        <f>('SITE DATA'!$F$27-(0.2*G161))^2/('SITE DATA'!$F$27+(0.8*G161))</f>
        <v>0.14102564102564105</v>
      </c>
      <c r="K161" s="586">
        <f t="shared" si="8"/>
        <v>78</v>
      </c>
      <c r="L161" s="394">
        <f>('SITE DATA'!$F$28-(0.2*G161))^2/('SITE DATA'!$F$28+(0.8*G161))</f>
        <v>0.14102564102564105</v>
      </c>
      <c r="M161" s="586">
        <f t="shared" si="9"/>
        <v>78</v>
      </c>
    </row>
    <row r="162" spans="2:13" ht="24" hidden="1" thickBot="1" x14ac:dyDescent="0.4">
      <c r="B162" s="540" t="s">
        <v>572</v>
      </c>
      <c r="C162" s="511" t="s">
        <v>547</v>
      </c>
      <c r="D162" s="539" t="e">
        <f>0.05+(0.9*D161)</f>
        <v>#DIV/0!</v>
      </c>
      <c r="E162" s="507"/>
      <c r="F162" s="507"/>
      <c r="G162" s="393">
        <f t="shared" si="6"/>
        <v>2.6582278481012658</v>
      </c>
      <c r="H162" s="394">
        <f>('SITE DATA'!$F$26-(0.2*G162))^2/('SITE DATA'!$F$26+(0.8*G162))</f>
        <v>0.13291139240506331</v>
      </c>
      <c r="I162" s="586">
        <f t="shared" si="7"/>
        <v>79</v>
      </c>
      <c r="J162" s="394">
        <f>('SITE DATA'!$F$27-(0.2*G162))^2/('SITE DATA'!$F$27+(0.8*G162))</f>
        <v>0.13291139240506331</v>
      </c>
      <c r="K162" s="586">
        <f t="shared" si="8"/>
        <v>79</v>
      </c>
      <c r="L162" s="394">
        <f>('SITE DATA'!$F$28-(0.2*G162))^2/('SITE DATA'!$F$28+(0.8*G162))</f>
        <v>0.13291139240506331</v>
      </c>
      <c r="M162" s="586">
        <f t="shared" si="9"/>
        <v>79</v>
      </c>
    </row>
    <row r="163" spans="2:13" ht="24" hidden="1" thickBot="1" x14ac:dyDescent="0.4">
      <c r="B163" s="540"/>
      <c r="C163" s="534" t="s">
        <v>549</v>
      </c>
      <c r="D163" s="535" t="e">
        <f>3630*1*D162*SUM(J17:K25)</f>
        <v>#DIV/0!</v>
      </c>
      <c r="E163" s="615" t="e">
        <f>D163</f>
        <v>#DIV/0!</v>
      </c>
      <c r="F163" s="507"/>
      <c r="G163" s="393">
        <f t="shared" si="6"/>
        <v>2.5</v>
      </c>
      <c r="H163" s="394">
        <f>('SITE DATA'!$F$26-(0.2*G163))^2/('SITE DATA'!$F$26+(0.8*G163))</f>
        <v>0.125</v>
      </c>
      <c r="I163" s="586">
        <f t="shared" si="7"/>
        <v>80</v>
      </c>
      <c r="J163" s="394">
        <f>('SITE DATA'!$F$27-(0.2*G163))^2/('SITE DATA'!$F$27+(0.8*G163))</f>
        <v>0.125</v>
      </c>
      <c r="K163" s="586">
        <f t="shared" si="8"/>
        <v>80</v>
      </c>
      <c r="L163" s="394">
        <f>('SITE DATA'!$F$28-(0.2*G163))^2/('SITE DATA'!$F$28+(0.8*G163))</f>
        <v>0.125</v>
      </c>
      <c r="M163" s="586">
        <f t="shared" si="9"/>
        <v>80</v>
      </c>
    </row>
    <row r="164" spans="2:13" ht="15.75" hidden="1" thickBot="1" x14ac:dyDescent="0.25">
      <c r="B164" s="541"/>
      <c r="C164" s="537"/>
      <c r="D164" s="531"/>
      <c r="E164" s="507"/>
      <c r="F164" s="507"/>
      <c r="G164" s="393">
        <f t="shared" si="6"/>
        <v>2.3456790123456788</v>
      </c>
      <c r="H164" s="394">
        <f>('SITE DATA'!$F$26-(0.2*G164))^2/('SITE DATA'!$F$26+(0.8*G164))</f>
        <v>0.11728395061728394</v>
      </c>
      <c r="I164" s="586">
        <f t="shared" si="7"/>
        <v>81</v>
      </c>
      <c r="J164" s="394">
        <f>('SITE DATA'!$F$27-(0.2*G164))^2/('SITE DATA'!$F$27+(0.8*G164))</f>
        <v>0.11728395061728394</v>
      </c>
      <c r="K164" s="586">
        <f t="shared" si="8"/>
        <v>81</v>
      </c>
      <c r="L164" s="394">
        <f>('SITE DATA'!$F$28-(0.2*G164))^2/('SITE DATA'!$F$28+(0.8*G164))</f>
        <v>0.11728395061728394</v>
      </c>
      <c r="M164" s="586">
        <f t="shared" si="9"/>
        <v>81</v>
      </c>
    </row>
    <row r="165" spans="2:13" hidden="1" x14ac:dyDescent="0.2">
      <c r="B165" s="538"/>
      <c r="C165" s="511" t="s">
        <v>543</v>
      </c>
      <c r="D165" s="613" t="e">
        <f>(SUM(L25:M25))/SUM(D17:M25)</f>
        <v>#DIV/0!</v>
      </c>
      <c r="E165" s="507"/>
      <c r="F165" s="507"/>
      <c r="G165" s="393">
        <f t="shared" si="6"/>
        <v>2.1951219512195124</v>
      </c>
      <c r="H165" s="394">
        <f>('SITE DATA'!$F$26-(0.2*G165))^2/('SITE DATA'!$F$26+(0.8*G165))</f>
        <v>0.10975609756097562</v>
      </c>
      <c r="I165" s="586">
        <f t="shared" si="7"/>
        <v>82</v>
      </c>
      <c r="J165" s="394">
        <f>('SITE DATA'!$F$27-(0.2*G165))^2/('SITE DATA'!$F$27+(0.8*G165))</f>
        <v>0.10975609756097562</v>
      </c>
      <c r="K165" s="586">
        <f t="shared" si="8"/>
        <v>82</v>
      </c>
      <c r="L165" s="394">
        <f>('SITE DATA'!$F$28-(0.2*G165))^2/('SITE DATA'!$F$28+(0.8*G165))</f>
        <v>0.10975609756097562</v>
      </c>
      <c r="M165" s="586">
        <f t="shared" si="9"/>
        <v>82</v>
      </c>
    </row>
    <row r="166" spans="2:13" ht="24" hidden="1" thickBot="1" x14ac:dyDescent="0.4">
      <c r="B166" s="540" t="s">
        <v>573</v>
      </c>
      <c r="C166" s="511" t="s">
        <v>547</v>
      </c>
      <c r="D166" s="539" t="e">
        <f>0.05+(0.9*D165)</f>
        <v>#DIV/0!</v>
      </c>
      <c r="E166" s="507"/>
      <c r="F166" s="507"/>
      <c r="G166" s="393">
        <f t="shared" si="6"/>
        <v>2.0481927710843379</v>
      </c>
      <c r="H166" s="394">
        <f>('SITE DATA'!$F$26-(0.2*G166))^2/('SITE DATA'!$F$26+(0.8*G166))</f>
        <v>0.10240963855421689</v>
      </c>
      <c r="I166" s="586">
        <f t="shared" si="7"/>
        <v>83</v>
      </c>
      <c r="J166" s="394">
        <f>('SITE DATA'!$F$27-(0.2*G166))^2/('SITE DATA'!$F$27+(0.8*G166))</f>
        <v>0.10240963855421689</v>
      </c>
      <c r="K166" s="586">
        <f t="shared" si="8"/>
        <v>83</v>
      </c>
      <c r="L166" s="394">
        <f>('SITE DATA'!$F$28-(0.2*G166))^2/('SITE DATA'!$F$28+(0.8*G166))</f>
        <v>0.10240963855421689</v>
      </c>
      <c r="M166" s="586">
        <f t="shared" si="9"/>
        <v>83</v>
      </c>
    </row>
    <row r="167" spans="2:13" ht="24" hidden="1" thickBot="1" x14ac:dyDescent="0.4">
      <c r="B167" s="540"/>
      <c r="C167" s="534" t="s">
        <v>549</v>
      </c>
      <c r="D167" s="535" t="e">
        <f>3630*1*D166*SUM(L17:M25)</f>
        <v>#DIV/0!</v>
      </c>
      <c r="E167" s="615" t="e">
        <f>D167</f>
        <v>#DIV/0!</v>
      </c>
      <c r="F167" s="507"/>
      <c r="G167" s="393">
        <f t="shared" si="6"/>
        <v>1.9047619047619051</v>
      </c>
      <c r="H167" s="394">
        <f>('SITE DATA'!$F$26-(0.2*G167))^2/('SITE DATA'!$F$26+(0.8*G167))</f>
        <v>9.5238095238095261E-2</v>
      </c>
      <c r="I167" s="586">
        <f t="shared" si="7"/>
        <v>84</v>
      </c>
      <c r="J167" s="394">
        <f>('SITE DATA'!$F$27-(0.2*G167))^2/('SITE DATA'!$F$27+(0.8*G167))</f>
        <v>9.5238095238095261E-2</v>
      </c>
      <c r="K167" s="586">
        <f t="shared" si="8"/>
        <v>84</v>
      </c>
      <c r="L167" s="394">
        <f>('SITE DATA'!$F$28-(0.2*G167))^2/('SITE DATA'!$F$28+(0.8*G167))</f>
        <v>9.5238095238095261E-2</v>
      </c>
      <c r="M167" s="586">
        <f t="shared" si="9"/>
        <v>84</v>
      </c>
    </row>
    <row r="168" spans="2:13" ht="15.75" hidden="1" thickBot="1" x14ac:dyDescent="0.25">
      <c r="B168" s="541"/>
      <c r="C168" s="537"/>
      <c r="D168" s="531"/>
      <c r="E168" s="507"/>
      <c r="F168" s="507"/>
      <c r="G168" s="393">
        <f t="shared" si="6"/>
        <v>1.764705882352942</v>
      </c>
      <c r="H168" s="394">
        <f>('SITE DATA'!$F$26-(0.2*G168))^2/('SITE DATA'!$F$26+(0.8*G168))</f>
        <v>8.8235294117647106E-2</v>
      </c>
      <c r="I168" s="586">
        <f t="shared" si="7"/>
        <v>85</v>
      </c>
      <c r="J168" s="394">
        <f>('SITE DATA'!$F$27-(0.2*G168))^2/('SITE DATA'!$F$27+(0.8*G168))</f>
        <v>8.8235294117647106E-2</v>
      </c>
      <c r="K168" s="586">
        <f t="shared" si="8"/>
        <v>85</v>
      </c>
      <c r="L168" s="394">
        <f>('SITE DATA'!$F$28-(0.2*G168))^2/('SITE DATA'!$F$28+(0.8*G168))</f>
        <v>8.8235294117647106E-2</v>
      </c>
      <c r="M168" s="586">
        <f t="shared" si="9"/>
        <v>85</v>
      </c>
    </row>
    <row r="169" spans="2:13" hidden="1" x14ac:dyDescent="0.2">
      <c r="B169" s="397"/>
      <c r="C169" s="507"/>
      <c r="D169" s="507"/>
      <c r="E169" s="507"/>
      <c r="F169" s="160"/>
      <c r="G169" s="393">
        <f t="shared" si="6"/>
        <v>1.6279069767441854</v>
      </c>
      <c r="H169" s="394">
        <f>('SITE DATA'!$F$26-(0.2*G169))^2/('SITE DATA'!$F$26+(0.8*G169))</f>
        <v>8.139534883720928E-2</v>
      </c>
      <c r="I169" s="586">
        <f t="shared" si="7"/>
        <v>86</v>
      </c>
      <c r="J169" s="394">
        <f>('SITE DATA'!$F$27-(0.2*G169))^2/('SITE DATA'!$F$27+(0.8*G169))</f>
        <v>8.139534883720928E-2</v>
      </c>
      <c r="K169" s="586">
        <f t="shared" si="8"/>
        <v>86</v>
      </c>
      <c r="L169" s="394">
        <f>('SITE DATA'!$F$28-(0.2*G169))^2/('SITE DATA'!$F$28+(0.8*G169))</f>
        <v>8.139534883720928E-2</v>
      </c>
      <c r="M169" s="586">
        <f t="shared" si="9"/>
        <v>86</v>
      </c>
    </row>
    <row r="170" spans="2:13" hidden="1" x14ac:dyDescent="0.2">
      <c r="B170" s="397"/>
      <c r="C170" s="507"/>
      <c r="D170" s="507"/>
      <c r="E170" s="507"/>
      <c r="F170" s="507"/>
      <c r="G170" s="393">
        <f t="shared" si="6"/>
        <v>1.4942528735632177</v>
      </c>
      <c r="H170" s="394">
        <f>('SITE DATA'!$F$26-(0.2*G170))^2/('SITE DATA'!$F$26+(0.8*G170))</f>
        <v>7.4712643678160884E-2</v>
      </c>
      <c r="I170" s="586">
        <f t="shared" si="7"/>
        <v>87</v>
      </c>
      <c r="J170" s="394">
        <f>('SITE DATA'!$F$27-(0.2*G170))^2/('SITE DATA'!$F$27+(0.8*G170))</f>
        <v>7.4712643678160884E-2</v>
      </c>
      <c r="K170" s="586">
        <f t="shared" si="8"/>
        <v>87</v>
      </c>
      <c r="L170" s="394">
        <f>('SITE DATA'!$F$28-(0.2*G170))^2/('SITE DATA'!$F$28+(0.8*G170))</f>
        <v>7.4712643678160884E-2</v>
      </c>
      <c r="M170" s="586">
        <f t="shared" si="9"/>
        <v>87</v>
      </c>
    </row>
    <row r="171" spans="2:13" hidden="1" x14ac:dyDescent="0.2">
      <c r="B171" s="397"/>
      <c r="C171" s="507"/>
      <c r="D171" s="507"/>
      <c r="E171" s="507"/>
      <c r="F171" s="507"/>
      <c r="G171" s="393">
        <f t="shared" si="6"/>
        <v>1.3636363636363633</v>
      </c>
      <c r="H171" s="394">
        <f>('SITE DATA'!$F$26-(0.2*G171))^2/('SITE DATA'!$F$26+(0.8*G171))</f>
        <v>6.8181818181818163E-2</v>
      </c>
      <c r="I171" s="586">
        <f t="shared" si="7"/>
        <v>88</v>
      </c>
      <c r="J171" s="394">
        <f>('SITE DATA'!$F$27-(0.2*G171))^2/('SITE DATA'!$F$27+(0.8*G171))</f>
        <v>6.8181818181818163E-2</v>
      </c>
      <c r="K171" s="586">
        <f t="shared" si="8"/>
        <v>88</v>
      </c>
      <c r="L171" s="394">
        <f>('SITE DATA'!$F$28-(0.2*G171))^2/('SITE DATA'!$F$28+(0.8*G171))</f>
        <v>6.8181818181818163E-2</v>
      </c>
      <c r="M171" s="586">
        <f t="shared" si="9"/>
        <v>88</v>
      </c>
    </row>
    <row r="172" spans="2:13" hidden="1" x14ac:dyDescent="0.2">
      <c r="B172" s="397"/>
      <c r="C172" s="507"/>
      <c r="D172" s="507"/>
      <c r="E172" s="507"/>
      <c r="F172" s="507"/>
      <c r="G172" s="393">
        <f t="shared" si="6"/>
        <v>1.2359550561797761</v>
      </c>
      <c r="H172" s="394">
        <f>('SITE DATA'!$F$26-(0.2*G172))^2/('SITE DATA'!$F$26+(0.8*G172))</f>
        <v>6.1797752808988804E-2</v>
      </c>
      <c r="I172" s="586">
        <f t="shared" si="7"/>
        <v>89</v>
      </c>
      <c r="J172" s="394">
        <f>('SITE DATA'!$F$27-(0.2*G172))^2/('SITE DATA'!$F$27+(0.8*G172))</f>
        <v>6.1797752808988804E-2</v>
      </c>
      <c r="K172" s="586">
        <f t="shared" si="8"/>
        <v>89</v>
      </c>
      <c r="L172" s="394">
        <f>('SITE DATA'!$F$28-(0.2*G172))^2/('SITE DATA'!$F$28+(0.8*G172))</f>
        <v>6.1797752808988804E-2</v>
      </c>
      <c r="M172" s="586">
        <f t="shared" si="9"/>
        <v>89</v>
      </c>
    </row>
    <row r="173" spans="2:13" hidden="1" x14ac:dyDescent="0.2">
      <c r="B173" s="397"/>
      <c r="C173" s="507"/>
      <c r="D173" s="507"/>
      <c r="E173" s="507"/>
      <c r="F173" s="507"/>
      <c r="G173" s="393">
        <f t="shared" si="6"/>
        <v>1.1111111111111107</v>
      </c>
      <c r="H173" s="394">
        <f>('SITE DATA'!$F$26-(0.2*G173))^2/('SITE DATA'!$F$26+(0.8*G173))</f>
        <v>5.5555555555555539E-2</v>
      </c>
      <c r="I173" s="586">
        <f t="shared" si="7"/>
        <v>90</v>
      </c>
      <c r="J173" s="394">
        <f>('SITE DATA'!$F$27-(0.2*G173))^2/('SITE DATA'!$F$27+(0.8*G173))</f>
        <v>5.5555555555555539E-2</v>
      </c>
      <c r="K173" s="586">
        <f t="shared" si="8"/>
        <v>90</v>
      </c>
      <c r="L173" s="394">
        <f>('SITE DATA'!$F$28-(0.2*G173))^2/('SITE DATA'!$F$28+(0.8*G173))</f>
        <v>5.5555555555555539E-2</v>
      </c>
      <c r="M173" s="586">
        <f t="shared" si="9"/>
        <v>90</v>
      </c>
    </row>
    <row r="174" spans="2:13" hidden="1" x14ac:dyDescent="0.2">
      <c r="B174" s="397"/>
      <c r="C174" s="507"/>
      <c r="D174" s="507"/>
      <c r="E174" s="507"/>
      <c r="F174" s="507"/>
      <c r="G174" s="393">
        <f t="shared" si="6"/>
        <v>0.98901098901098905</v>
      </c>
      <c r="H174" s="394">
        <f>('SITE DATA'!$F$26-(0.2*G174))^2/('SITE DATA'!$F$26+(0.8*G174))</f>
        <v>4.9450549450549455E-2</v>
      </c>
      <c r="I174" s="586">
        <f t="shared" si="7"/>
        <v>91</v>
      </c>
      <c r="J174" s="394">
        <f>('SITE DATA'!$F$27-(0.2*G174))^2/('SITE DATA'!$F$27+(0.8*G174))</f>
        <v>4.9450549450549455E-2</v>
      </c>
      <c r="K174" s="586">
        <f t="shared" si="8"/>
        <v>91</v>
      </c>
      <c r="L174" s="394">
        <f>('SITE DATA'!$F$28-(0.2*G174))^2/('SITE DATA'!$F$28+(0.8*G174))</f>
        <v>4.9450549450549455E-2</v>
      </c>
      <c r="M174" s="586">
        <f t="shared" si="9"/>
        <v>91</v>
      </c>
    </row>
    <row r="175" spans="2:13" hidden="1" x14ac:dyDescent="0.2">
      <c r="B175" s="397"/>
      <c r="C175" s="507"/>
      <c r="D175" s="507"/>
      <c r="E175" s="507"/>
      <c r="F175" s="507"/>
      <c r="G175" s="393">
        <f t="shared" si="6"/>
        <v>0.86956521739130466</v>
      </c>
      <c r="H175" s="394">
        <f>('SITE DATA'!$F$26-(0.2*G175))^2/('SITE DATA'!$F$26+(0.8*G175))</f>
        <v>4.3478260869565237E-2</v>
      </c>
      <c r="I175" s="586">
        <f t="shared" si="7"/>
        <v>92</v>
      </c>
      <c r="J175" s="394">
        <f>('SITE DATA'!$F$27-(0.2*G175))^2/('SITE DATA'!$F$27+(0.8*G175))</f>
        <v>4.3478260869565237E-2</v>
      </c>
      <c r="K175" s="586">
        <f t="shared" si="8"/>
        <v>92</v>
      </c>
      <c r="L175" s="394">
        <f>('SITE DATA'!$F$28-(0.2*G175))^2/('SITE DATA'!$F$28+(0.8*G175))</f>
        <v>4.3478260869565237E-2</v>
      </c>
      <c r="M175" s="586">
        <f t="shared" si="9"/>
        <v>92</v>
      </c>
    </row>
    <row r="176" spans="2:13" hidden="1" x14ac:dyDescent="0.2">
      <c r="B176" s="397"/>
      <c r="C176" s="507"/>
      <c r="D176" s="507"/>
      <c r="E176" s="507"/>
      <c r="F176" s="507"/>
      <c r="G176" s="393">
        <f t="shared" si="6"/>
        <v>0.75268817204301008</v>
      </c>
      <c r="H176" s="394">
        <f>('SITE DATA'!$F$26-(0.2*G176))^2/('SITE DATA'!$F$26+(0.8*G176))</f>
        <v>3.7634408602150504E-2</v>
      </c>
      <c r="I176" s="586">
        <f t="shared" si="7"/>
        <v>93</v>
      </c>
      <c r="J176" s="394">
        <f>('SITE DATA'!$F$27-(0.2*G176))^2/('SITE DATA'!$F$27+(0.8*G176))</f>
        <v>3.7634408602150504E-2</v>
      </c>
      <c r="K176" s="586">
        <f t="shared" si="8"/>
        <v>93</v>
      </c>
      <c r="L176" s="394">
        <f>('SITE DATA'!$F$28-(0.2*G176))^2/('SITE DATA'!$F$28+(0.8*G176))</f>
        <v>3.7634408602150504E-2</v>
      </c>
      <c r="M176" s="586">
        <f t="shared" si="9"/>
        <v>93</v>
      </c>
    </row>
    <row r="177" spans="2:14" hidden="1" x14ac:dyDescent="0.2">
      <c r="B177" s="397"/>
      <c r="C177" s="507"/>
      <c r="D177" s="507"/>
      <c r="E177" s="507"/>
      <c r="F177" s="507"/>
      <c r="G177" s="393">
        <f t="shared" si="6"/>
        <v>0.63829787234042534</v>
      </c>
      <c r="H177" s="394">
        <f>('SITE DATA'!$F$26-(0.2*G177))^2/('SITE DATA'!$F$26+(0.8*G177))</f>
        <v>3.1914893617021267E-2</v>
      </c>
      <c r="I177" s="586">
        <f t="shared" si="7"/>
        <v>94</v>
      </c>
      <c r="J177" s="394">
        <f>('SITE DATA'!$F$27-(0.2*G177))^2/('SITE DATA'!$F$27+(0.8*G177))</f>
        <v>3.1914893617021267E-2</v>
      </c>
      <c r="K177" s="586">
        <f t="shared" si="8"/>
        <v>94</v>
      </c>
      <c r="L177" s="394">
        <f>('SITE DATA'!$F$28-(0.2*G177))^2/('SITE DATA'!$F$28+(0.8*G177))</f>
        <v>3.1914893617021267E-2</v>
      </c>
      <c r="M177" s="586">
        <f t="shared" si="9"/>
        <v>94</v>
      </c>
    </row>
    <row r="178" spans="2:14" hidden="1" x14ac:dyDescent="0.2">
      <c r="B178" s="397"/>
      <c r="C178" s="507"/>
      <c r="D178" s="507"/>
      <c r="E178" s="507"/>
      <c r="F178" s="507"/>
      <c r="G178" s="393">
        <f t="shared" si="6"/>
        <v>0.52631578947368496</v>
      </c>
      <c r="H178" s="394">
        <f>('SITE DATA'!$F$26-(0.2*G178))^2/('SITE DATA'!$F$26+(0.8*G178))</f>
        <v>2.6315789473684247E-2</v>
      </c>
      <c r="I178" s="586">
        <f t="shared" si="7"/>
        <v>95</v>
      </c>
      <c r="J178" s="394">
        <f>('SITE DATA'!$F$27-(0.2*G178))^2/('SITE DATA'!$F$27+(0.8*G178))</f>
        <v>2.6315789473684247E-2</v>
      </c>
      <c r="K178" s="586">
        <f t="shared" si="8"/>
        <v>95</v>
      </c>
      <c r="L178" s="394">
        <f>('SITE DATA'!$F$28-(0.2*G178))^2/('SITE DATA'!$F$28+(0.8*G178))</f>
        <v>2.6315789473684247E-2</v>
      </c>
      <c r="M178" s="586">
        <f t="shared" si="9"/>
        <v>95</v>
      </c>
    </row>
    <row r="179" spans="2:14" hidden="1" x14ac:dyDescent="0.2">
      <c r="B179" s="397"/>
      <c r="C179" s="507"/>
      <c r="D179" s="507"/>
      <c r="E179" s="507"/>
      <c r="F179" s="507"/>
      <c r="G179" s="393">
        <f t="shared" si="6"/>
        <v>0.41666666666666607</v>
      </c>
      <c r="H179" s="394">
        <f>('SITE DATA'!$F$26-(0.2*G179))^2/('SITE DATA'!$F$26+(0.8*G179))</f>
        <v>2.0833333333333304E-2</v>
      </c>
      <c r="I179" s="586">
        <f t="shared" si="7"/>
        <v>96</v>
      </c>
      <c r="J179" s="394">
        <f>('SITE DATA'!$F$27-(0.2*G179))^2/('SITE DATA'!$F$27+(0.8*G179))</f>
        <v>2.0833333333333304E-2</v>
      </c>
      <c r="K179" s="586">
        <f t="shared" si="8"/>
        <v>96</v>
      </c>
      <c r="L179" s="394">
        <f>('SITE DATA'!$F$28-(0.2*G179))^2/('SITE DATA'!$F$28+(0.8*G179))</f>
        <v>2.0833333333333304E-2</v>
      </c>
      <c r="M179" s="586">
        <f t="shared" si="9"/>
        <v>96</v>
      </c>
    </row>
    <row r="180" spans="2:14" hidden="1" x14ac:dyDescent="0.2">
      <c r="B180" s="397"/>
      <c r="C180" s="507"/>
      <c r="D180" s="507"/>
      <c r="E180" s="507"/>
      <c r="F180" s="507"/>
      <c r="G180" s="393">
        <f t="shared" si="6"/>
        <v>0.3092783505154646</v>
      </c>
      <c r="H180" s="394">
        <f>('SITE DATA'!$F$26-(0.2*G180))^2/('SITE DATA'!$F$26+(0.8*G180))</f>
        <v>1.5463917525773231E-2</v>
      </c>
      <c r="I180" s="586">
        <f t="shared" si="7"/>
        <v>97</v>
      </c>
      <c r="J180" s="394">
        <f>('SITE DATA'!$F$27-(0.2*G180))^2/('SITE DATA'!$F$27+(0.8*G180))</f>
        <v>1.5463917525773231E-2</v>
      </c>
      <c r="K180" s="586">
        <f t="shared" si="8"/>
        <v>97</v>
      </c>
      <c r="L180" s="394">
        <f>('SITE DATA'!$F$28-(0.2*G180))^2/('SITE DATA'!$F$28+(0.8*G180))</f>
        <v>1.5463917525773231E-2</v>
      </c>
      <c r="M180" s="586">
        <f t="shared" si="9"/>
        <v>97</v>
      </c>
    </row>
    <row r="181" spans="2:14" hidden="1" x14ac:dyDescent="0.2">
      <c r="B181" s="397"/>
      <c r="C181" s="507"/>
      <c r="D181" s="507"/>
      <c r="E181" s="507"/>
      <c r="F181" s="507"/>
      <c r="G181" s="393">
        <f t="shared" si="6"/>
        <v>0.20408163265306101</v>
      </c>
      <c r="H181" s="394">
        <f>('SITE DATA'!$F$26-(0.2*G181))^2/('SITE DATA'!$F$26+(0.8*G181))</f>
        <v>1.0204081632653052E-2</v>
      </c>
      <c r="I181" s="586">
        <f t="shared" si="7"/>
        <v>98</v>
      </c>
      <c r="J181" s="394">
        <f>('SITE DATA'!$F$27-(0.2*G181))^2/('SITE DATA'!$F$27+(0.8*G181))</f>
        <v>1.0204081632653052E-2</v>
      </c>
      <c r="K181" s="586">
        <f t="shared" si="8"/>
        <v>98</v>
      </c>
      <c r="L181" s="394">
        <f>('SITE DATA'!$F$28-(0.2*G181))^2/('SITE DATA'!$F$28+(0.8*G181))</f>
        <v>1.0204081632653052E-2</v>
      </c>
      <c r="M181" s="586">
        <f t="shared" si="9"/>
        <v>98</v>
      </c>
    </row>
    <row r="182" spans="2:14" hidden="1" x14ac:dyDescent="0.2">
      <c r="B182" s="397"/>
      <c r="C182" s="507"/>
      <c r="D182" s="507"/>
      <c r="E182" s="507"/>
      <c r="F182" s="507"/>
      <c r="G182" s="507"/>
      <c r="H182" s="507"/>
      <c r="I182" s="507"/>
      <c r="J182" s="507"/>
      <c r="K182" s="573"/>
      <c r="L182" s="507"/>
      <c r="M182" s="507"/>
      <c r="N182" s="507"/>
    </row>
    <row r="183" spans="2:14" hidden="1" x14ac:dyDescent="0.2">
      <c r="B183" s="397"/>
      <c r="C183" s="507"/>
      <c r="D183" s="507"/>
      <c r="E183" s="507"/>
      <c r="F183" s="507"/>
      <c r="G183" s="507"/>
      <c r="H183" s="507"/>
      <c r="I183" s="507"/>
      <c r="J183" s="507"/>
      <c r="K183" s="573"/>
      <c r="L183" s="507"/>
      <c r="M183" s="507"/>
      <c r="N183" s="507"/>
    </row>
    <row r="184" spans="2:14" hidden="1" x14ac:dyDescent="0.2">
      <c r="B184" s="397"/>
      <c r="C184" s="507"/>
      <c r="D184" s="507"/>
      <c r="E184" s="507"/>
      <c r="F184" s="507"/>
      <c r="G184" s="507"/>
      <c r="H184" s="507"/>
      <c r="I184" s="507"/>
      <c r="J184" s="507"/>
      <c r="K184" s="573"/>
      <c r="L184" s="507"/>
      <c r="M184" s="507"/>
      <c r="N184" s="507"/>
    </row>
    <row r="185" spans="2:14" hidden="1" x14ac:dyDescent="0.2">
      <c r="B185" s="397"/>
      <c r="C185" s="507"/>
      <c r="D185" s="507"/>
      <c r="E185" s="507"/>
      <c r="F185" s="507"/>
      <c r="G185" s="507"/>
      <c r="H185" s="507"/>
      <c r="I185" s="507"/>
      <c r="J185" s="507"/>
      <c r="K185" s="573"/>
      <c r="L185" s="507"/>
      <c r="M185" s="507"/>
      <c r="N185" s="507"/>
    </row>
    <row r="186" spans="2:14" hidden="1" x14ac:dyDescent="0.2">
      <c r="B186" s="397"/>
      <c r="C186" s="507"/>
      <c r="D186" s="507"/>
      <c r="E186" s="507"/>
      <c r="F186" s="507"/>
      <c r="G186" s="507"/>
      <c r="H186" s="507"/>
      <c r="I186" s="507"/>
      <c r="J186" s="507"/>
      <c r="K186" s="573"/>
      <c r="L186" s="507"/>
      <c r="M186" s="507"/>
      <c r="N186" s="507"/>
    </row>
    <row r="187" spans="2:14" hidden="1" x14ac:dyDescent="0.2">
      <c r="B187" s="397"/>
      <c r="C187" s="507"/>
      <c r="D187" s="507"/>
      <c r="E187" s="507"/>
      <c r="F187" s="507"/>
      <c r="G187" s="507"/>
      <c r="H187" s="507"/>
      <c r="I187" s="507"/>
      <c r="J187" s="507"/>
      <c r="K187" s="573"/>
      <c r="L187" s="507"/>
      <c r="M187" s="507"/>
      <c r="N187" s="507"/>
    </row>
    <row r="188" spans="2:14" hidden="1" x14ac:dyDescent="0.2">
      <c r="B188" s="397"/>
      <c r="C188" s="507"/>
      <c r="D188" s="507"/>
      <c r="E188" s="507"/>
      <c r="F188" s="507"/>
      <c r="G188" s="507"/>
      <c r="H188" s="507"/>
      <c r="I188" s="507"/>
      <c r="J188" s="507"/>
      <c r="K188" s="573"/>
      <c r="L188" s="507"/>
      <c r="M188" s="507"/>
      <c r="N188" s="507"/>
    </row>
    <row r="189" spans="2:14" hidden="1" x14ac:dyDescent="0.2">
      <c r="B189" s="397"/>
      <c r="C189" s="507"/>
      <c r="D189" s="507"/>
      <c r="E189" s="507"/>
      <c r="F189" s="507"/>
      <c r="G189" s="507"/>
      <c r="H189" s="507"/>
      <c r="I189" s="507"/>
      <c r="J189" s="507"/>
      <c r="K189" s="573"/>
      <c r="L189" s="507"/>
      <c r="M189" s="507"/>
      <c r="N189" s="507"/>
    </row>
    <row r="190" spans="2:14" hidden="1" x14ac:dyDescent="0.2">
      <c r="B190" s="397"/>
      <c r="C190" s="507"/>
      <c r="D190" s="507"/>
      <c r="E190" s="507"/>
      <c r="F190" s="507"/>
      <c r="G190" s="507"/>
      <c r="H190" s="507"/>
      <c r="I190" s="507"/>
      <c r="J190" s="507"/>
      <c r="K190" s="573"/>
      <c r="L190" s="507"/>
      <c r="M190" s="507"/>
      <c r="N190" s="507"/>
    </row>
    <row r="191" spans="2:14" hidden="1" x14ac:dyDescent="0.2">
      <c r="B191" s="397"/>
      <c r="C191" s="507"/>
      <c r="D191" s="507"/>
      <c r="E191" s="507"/>
      <c r="F191" s="507"/>
      <c r="G191" s="507"/>
      <c r="H191" s="507"/>
      <c r="I191" s="507"/>
      <c r="J191" s="507"/>
      <c r="K191" s="573"/>
      <c r="L191" s="507"/>
      <c r="M191" s="507"/>
      <c r="N191" s="507"/>
    </row>
    <row r="192" spans="2:14" hidden="1" x14ac:dyDescent="0.2">
      <c r="B192" s="397"/>
      <c r="C192" s="507"/>
      <c r="D192" s="507"/>
      <c r="E192" s="507"/>
      <c r="F192" s="507"/>
      <c r="G192" s="507"/>
      <c r="H192" s="507"/>
      <c r="I192" s="507"/>
      <c r="J192" s="507"/>
      <c r="K192" s="573"/>
      <c r="L192" s="507"/>
      <c r="M192" s="507"/>
      <c r="N192" s="507"/>
    </row>
    <row r="193" spans="1:27" hidden="1" x14ac:dyDescent="0.2">
      <c r="B193" s="397"/>
      <c r="C193" s="507"/>
      <c r="D193" s="507"/>
      <c r="E193" s="507"/>
      <c r="F193" s="507"/>
      <c r="G193" s="507"/>
      <c r="H193" s="507"/>
      <c r="I193" s="507"/>
      <c r="J193" s="507"/>
      <c r="K193" s="573"/>
      <c r="L193" s="507"/>
      <c r="M193" s="507"/>
      <c r="N193" s="507"/>
    </row>
    <row r="194" spans="1:27" hidden="1" x14ac:dyDescent="0.2">
      <c r="B194" s="397"/>
      <c r="C194" s="507"/>
      <c r="D194" s="507"/>
      <c r="E194" s="507"/>
      <c r="F194" s="507"/>
      <c r="G194" s="507"/>
      <c r="H194" s="507"/>
      <c r="I194" s="507"/>
      <c r="J194" s="507"/>
      <c r="K194" s="573"/>
      <c r="L194" s="507"/>
      <c r="M194" s="507"/>
      <c r="N194" s="507"/>
    </row>
    <row r="195" spans="1:27" hidden="1" x14ac:dyDescent="0.2">
      <c r="B195" s="397"/>
      <c r="C195" s="507"/>
      <c r="D195" s="507"/>
      <c r="E195" s="507"/>
      <c r="F195" s="507"/>
      <c r="G195" s="507"/>
      <c r="H195" s="507"/>
      <c r="I195" s="507"/>
      <c r="J195" s="507"/>
      <c r="K195" s="573"/>
      <c r="L195" s="507"/>
      <c r="M195" s="507"/>
      <c r="N195" s="507"/>
    </row>
    <row r="196" spans="1:27" hidden="1" x14ac:dyDescent="0.2">
      <c r="B196" s="397"/>
      <c r="C196" s="507"/>
      <c r="D196" s="507"/>
      <c r="E196" s="507"/>
      <c r="F196" s="507"/>
      <c r="G196" s="507"/>
      <c r="H196" s="507"/>
      <c r="I196" s="507"/>
      <c r="J196" s="507"/>
      <c r="K196" s="573"/>
      <c r="L196" s="507"/>
      <c r="M196" s="507"/>
      <c r="N196" s="507"/>
    </row>
    <row r="197" spans="1:27" hidden="1" x14ac:dyDescent="0.2">
      <c r="B197" s="507"/>
      <c r="C197" s="507"/>
      <c r="D197" s="507"/>
      <c r="E197" s="507"/>
      <c r="F197" s="507"/>
      <c r="G197" s="507"/>
      <c r="H197" s="507"/>
      <c r="I197" s="507"/>
      <c r="J197" s="507"/>
      <c r="K197" s="573"/>
      <c r="L197" s="507"/>
      <c r="M197" s="507"/>
      <c r="N197" s="507"/>
    </row>
    <row r="198" spans="1:27" hidden="1" x14ac:dyDescent="0.2">
      <c r="B198" s="507"/>
      <c r="C198" s="507"/>
      <c r="D198" s="507"/>
      <c r="E198" s="507"/>
      <c r="F198" s="507"/>
      <c r="G198" s="507"/>
      <c r="H198" s="507"/>
      <c r="I198" s="507"/>
      <c r="J198" s="507"/>
      <c r="K198" s="573"/>
      <c r="L198" s="507"/>
      <c r="M198" s="507"/>
      <c r="N198" s="507"/>
    </row>
    <row r="199" spans="1:27" hidden="1" x14ac:dyDescent="0.2">
      <c r="B199" s="507"/>
      <c r="C199" s="507"/>
      <c r="D199" s="507"/>
      <c r="E199" s="507"/>
      <c r="F199" s="507"/>
      <c r="G199" s="507"/>
      <c r="H199" s="507"/>
      <c r="I199" s="507"/>
      <c r="J199" s="507"/>
      <c r="K199" s="573"/>
      <c r="L199" s="507"/>
      <c r="M199" s="507"/>
      <c r="N199" s="507"/>
    </row>
    <row r="200" spans="1:27" hidden="1" x14ac:dyDescent="0.2">
      <c r="B200" s="507"/>
      <c r="C200" s="507"/>
      <c r="D200" s="507"/>
      <c r="E200" s="507"/>
      <c r="F200" s="507"/>
      <c r="G200" s="507"/>
      <c r="H200" s="507"/>
      <c r="I200" s="507"/>
      <c r="J200" s="507"/>
      <c r="K200" s="573"/>
      <c r="L200" s="507"/>
      <c r="M200" s="507"/>
      <c r="N200" s="507"/>
    </row>
    <row r="201" spans="1:27" hidden="1" x14ac:dyDescent="0.2">
      <c r="B201" s="507"/>
      <c r="C201" s="507"/>
      <c r="D201" s="507"/>
      <c r="E201" s="507"/>
      <c r="F201" s="507"/>
      <c r="G201" s="507"/>
      <c r="H201" s="507"/>
      <c r="I201" s="507"/>
      <c r="J201" s="507"/>
      <c r="K201" s="573"/>
      <c r="L201" s="507"/>
      <c r="M201" s="507"/>
      <c r="N201" s="507"/>
    </row>
    <row r="202" spans="1:27" hidden="1" x14ac:dyDescent="0.2">
      <c r="B202" s="507"/>
      <c r="C202" s="507"/>
      <c r="D202" s="507"/>
      <c r="E202" s="507"/>
      <c r="F202" s="507"/>
      <c r="G202" s="507"/>
      <c r="H202" s="507"/>
      <c r="I202" s="507"/>
      <c r="J202" s="507"/>
      <c r="K202" s="573"/>
      <c r="L202" s="507"/>
      <c r="M202" s="507"/>
      <c r="N202" s="507"/>
    </row>
    <row r="203" spans="1:27" hidden="1" x14ac:dyDescent="0.2">
      <c r="B203" s="507"/>
      <c r="C203" s="507"/>
      <c r="D203" s="507"/>
      <c r="E203" s="507"/>
      <c r="F203" s="507"/>
      <c r="G203" s="507"/>
      <c r="H203" s="507"/>
      <c r="I203" s="507"/>
      <c r="J203" s="507"/>
      <c r="K203" s="573"/>
      <c r="L203" s="507"/>
      <c r="M203" s="507"/>
      <c r="N203" s="507"/>
    </row>
    <row r="204" spans="1:27" hidden="1" x14ac:dyDescent="0.2">
      <c r="B204" s="507"/>
      <c r="C204" s="507"/>
      <c r="D204" s="507"/>
      <c r="E204" s="507"/>
      <c r="F204" s="507"/>
      <c r="G204" s="507"/>
      <c r="H204" s="507"/>
      <c r="I204" s="507"/>
      <c r="J204" s="507"/>
      <c r="K204" s="573"/>
      <c r="L204" s="507"/>
      <c r="M204" s="507"/>
      <c r="N204" s="507"/>
    </row>
    <row r="205" spans="1:27" hidden="1" x14ac:dyDescent="0.2">
      <c r="B205" s="507"/>
      <c r="C205" s="507"/>
      <c r="D205" s="507"/>
      <c r="E205" s="507"/>
      <c r="F205" s="507"/>
      <c r="G205" s="507"/>
      <c r="H205" s="507"/>
      <c r="I205" s="507"/>
      <c r="J205" s="507"/>
      <c r="K205" s="573"/>
      <c r="L205" s="507"/>
      <c r="M205" s="507"/>
      <c r="N205" s="507"/>
    </row>
    <row r="206" spans="1:27" ht="15.75" hidden="1" x14ac:dyDescent="0.2">
      <c r="B206" s="576"/>
      <c r="C206" s="576"/>
      <c r="D206" s="576"/>
      <c r="E206" s="576"/>
      <c r="F206" s="577"/>
      <c r="G206" s="577"/>
      <c r="H206" s="577"/>
      <c r="I206" s="577"/>
      <c r="J206" s="577"/>
      <c r="K206" s="577"/>
      <c r="L206" s="577"/>
      <c r="M206" s="577"/>
      <c r="N206" s="507"/>
      <c r="Z206" s="507"/>
      <c r="AA206" s="507"/>
    </row>
    <row r="207" spans="1:27" s="523" customFormat="1" x14ac:dyDescent="0.2">
      <c r="A207" s="737" t="s">
        <v>449</v>
      </c>
      <c r="B207" s="737"/>
      <c r="C207" s="737"/>
      <c r="D207" s="737"/>
      <c r="E207" s="737"/>
      <c r="F207" s="737"/>
      <c r="G207" s="737"/>
      <c r="H207" s="737"/>
      <c r="I207" s="737"/>
      <c r="J207" s="737"/>
      <c r="K207" s="737"/>
      <c r="L207" s="737"/>
      <c r="M207" s="507"/>
    </row>
    <row r="208" spans="1:27" x14ac:dyDescent="0.2">
      <c r="A208" s="737"/>
      <c r="B208" s="737"/>
      <c r="C208" s="737"/>
      <c r="D208" s="737"/>
      <c r="E208" s="737"/>
      <c r="F208" s="737"/>
      <c r="G208" s="737"/>
      <c r="H208" s="737"/>
      <c r="I208" s="737"/>
      <c r="J208" s="737"/>
      <c r="K208" s="737"/>
      <c r="L208" s="737"/>
      <c r="M208" s="507"/>
      <c r="N208" s="507"/>
      <c r="Z208" s="507"/>
    </row>
    <row r="209" spans="1:26" ht="15.75" x14ac:dyDescent="0.2">
      <c r="A209" s="738" t="s">
        <v>436</v>
      </c>
      <c r="B209" s="738"/>
      <c r="C209" s="738"/>
      <c r="D209" s="738"/>
      <c r="E209" s="738"/>
      <c r="F209" s="738"/>
      <c r="G209" s="738"/>
      <c r="H209" s="738"/>
      <c r="I209" s="738"/>
      <c r="J209" s="738"/>
      <c r="K209" s="738"/>
      <c r="L209" s="738"/>
      <c r="M209" s="507"/>
      <c r="N209" s="507"/>
      <c r="Z209" s="507"/>
    </row>
    <row r="210" spans="1:26" x14ac:dyDescent="0.2">
      <c r="A210" s="737" t="s">
        <v>450</v>
      </c>
      <c r="B210" s="737"/>
      <c r="C210" s="737"/>
      <c r="D210" s="737"/>
      <c r="E210" s="737"/>
      <c r="F210" s="737"/>
      <c r="G210" s="737"/>
      <c r="H210" s="737"/>
      <c r="I210" s="737"/>
      <c r="J210" s="737"/>
      <c r="K210" s="737"/>
      <c r="L210" s="737"/>
      <c r="M210" s="507"/>
      <c r="N210" s="507"/>
      <c r="Z210" s="507"/>
    </row>
    <row r="211" spans="1:26" x14ac:dyDescent="0.2">
      <c r="A211" s="737"/>
      <c r="B211" s="737"/>
      <c r="C211" s="737"/>
      <c r="D211" s="737"/>
      <c r="E211" s="737"/>
      <c r="F211" s="737"/>
      <c r="G211" s="737"/>
      <c r="H211" s="737"/>
      <c r="I211" s="737"/>
      <c r="J211" s="737"/>
      <c r="K211" s="737"/>
      <c r="L211" s="737"/>
      <c r="M211" s="507"/>
      <c r="N211" s="507"/>
      <c r="Z211" s="507"/>
    </row>
    <row r="212" spans="1:26" ht="15.75" x14ac:dyDescent="0.2">
      <c r="A212" s="738" t="s">
        <v>436</v>
      </c>
      <c r="B212" s="738"/>
      <c r="C212" s="738"/>
      <c r="D212" s="738"/>
      <c r="E212" s="738"/>
      <c r="F212" s="738"/>
      <c r="G212" s="738"/>
      <c r="H212" s="738"/>
      <c r="I212" s="738"/>
      <c r="J212" s="738"/>
      <c r="K212" s="738"/>
      <c r="L212" s="738"/>
      <c r="M212" s="507"/>
      <c r="N212" s="507"/>
      <c r="Z212" s="507"/>
    </row>
    <row r="213" spans="1:26" x14ac:dyDescent="0.2">
      <c r="A213" s="737" t="s">
        <v>451</v>
      </c>
      <c r="B213" s="737"/>
      <c r="C213" s="737"/>
      <c r="D213" s="737"/>
      <c r="E213" s="737"/>
      <c r="F213" s="737"/>
      <c r="G213" s="737"/>
      <c r="H213" s="737"/>
      <c r="I213" s="737"/>
      <c r="J213" s="737"/>
      <c r="K213" s="737"/>
      <c r="L213" s="737"/>
      <c r="M213" s="507"/>
      <c r="N213" s="507"/>
      <c r="Z213" s="507"/>
    </row>
    <row r="214" spans="1:26" x14ac:dyDescent="0.2">
      <c r="A214" s="737"/>
      <c r="B214" s="737"/>
      <c r="C214" s="737"/>
      <c r="D214" s="737"/>
      <c r="E214" s="737"/>
      <c r="F214" s="737"/>
      <c r="G214" s="737"/>
      <c r="H214" s="737"/>
      <c r="I214" s="737"/>
      <c r="J214" s="737"/>
      <c r="K214" s="737"/>
      <c r="L214" s="737"/>
      <c r="M214" s="507"/>
      <c r="N214" s="507"/>
      <c r="Z214" s="507"/>
    </row>
    <row r="215" spans="1:26" x14ac:dyDescent="0.2">
      <c r="B215" s="507"/>
      <c r="C215" s="507"/>
      <c r="D215" s="507"/>
      <c r="E215" s="507"/>
      <c r="F215" s="507"/>
      <c r="G215" s="507"/>
      <c r="H215" s="507"/>
      <c r="I215" s="507"/>
      <c r="J215" s="507"/>
      <c r="K215" s="573"/>
      <c r="L215" s="507"/>
      <c r="M215" s="507"/>
      <c r="N215" s="507"/>
    </row>
    <row r="216" spans="1:26" x14ac:dyDescent="0.2">
      <c r="B216" s="507"/>
      <c r="C216" s="507"/>
      <c r="D216" s="507"/>
      <c r="E216" s="507"/>
      <c r="F216" s="507"/>
      <c r="G216" s="507"/>
      <c r="H216" s="507"/>
      <c r="I216" s="507"/>
      <c r="J216" s="507"/>
      <c r="K216" s="573"/>
      <c r="L216" s="507"/>
      <c r="M216" s="507"/>
      <c r="N216" s="507"/>
    </row>
    <row r="217" spans="1:26" x14ac:dyDescent="0.2">
      <c r="B217" s="507"/>
      <c r="C217" s="507"/>
      <c r="D217" s="507"/>
      <c r="E217" s="507"/>
      <c r="F217" s="507"/>
      <c r="G217" s="507"/>
      <c r="H217" s="507"/>
      <c r="I217" s="507"/>
      <c r="J217" s="507"/>
      <c r="K217" s="573"/>
      <c r="L217" s="507"/>
      <c r="M217" s="507"/>
      <c r="N217" s="507"/>
    </row>
    <row r="218" spans="1:26" x14ac:dyDescent="0.2">
      <c r="B218" s="507"/>
      <c r="C218" s="507"/>
      <c r="D218" s="507"/>
      <c r="E218" s="507"/>
      <c r="F218" s="507"/>
      <c r="G218" s="507"/>
      <c r="H218" s="507"/>
      <c r="I218" s="507"/>
      <c r="J218" s="507"/>
      <c r="K218" s="573"/>
      <c r="L218" s="507"/>
      <c r="M218" s="507"/>
      <c r="N218" s="507"/>
    </row>
    <row r="219" spans="1:26" x14ac:dyDescent="0.2">
      <c r="B219" s="507"/>
      <c r="C219" s="507"/>
      <c r="D219" s="507"/>
      <c r="E219" s="507"/>
      <c r="F219" s="507"/>
      <c r="G219" s="507"/>
      <c r="H219" s="507"/>
      <c r="I219" s="507"/>
      <c r="J219" s="507"/>
      <c r="K219" s="573"/>
      <c r="L219" s="507"/>
      <c r="M219" s="507"/>
      <c r="N219" s="507"/>
    </row>
    <row r="220" spans="1:26" x14ac:dyDescent="0.2">
      <c r="B220" s="507"/>
      <c r="C220" s="507"/>
      <c r="D220" s="507"/>
      <c r="E220" s="507"/>
      <c r="F220" s="507"/>
      <c r="G220" s="507"/>
      <c r="H220" s="507"/>
      <c r="I220" s="507"/>
      <c r="J220" s="507"/>
      <c r="K220" s="573"/>
      <c r="L220" s="507"/>
      <c r="M220" s="507"/>
      <c r="N220" s="507"/>
    </row>
    <row r="221" spans="1:26" x14ac:dyDescent="0.2">
      <c r="B221" s="507"/>
      <c r="C221" s="507"/>
      <c r="D221" s="507"/>
      <c r="E221" s="507"/>
      <c r="F221" s="507"/>
      <c r="G221" s="507"/>
      <c r="H221" s="507"/>
      <c r="I221" s="507"/>
      <c r="J221" s="507"/>
      <c r="K221" s="573"/>
      <c r="L221" s="507"/>
      <c r="M221" s="507"/>
      <c r="N221" s="507"/>
    </row>
    <row r="222" spans="1:26" x14ac:dyDescent="0.2">
      <c r="B222" s="507"/>
      <c r="C222" s="507"/>
      <c r="D222" s="507"/>
      <c r="E222" s="507"/>
      <c r="F222" s="507"/>
      <c r="G222" s="507"/>
      <c r="H222" s="507"/>
      <c r="I222" s="507"/>
      <c r="J222" s="507"/>
      <c r="K222" s="573"/>
      <c r="L222" s="507"/>
      <c r="M222" s="507"/>
      <c r="N222" s="507"/>
    </row>
    <row r="223" spans="1:26" x14ac:dyDescent="0.2">
      <c r="B223" s="507"/>
      <c r="C223" s="507"/>
      <c r="D223" s="507"/>
      <c r="E223" s="507"/>
      <c r="F223" s="507"/>
      <c r="G223" s="507"/>
      <c r="H223" s="507"/>
      <c r="I223" s="507"/>
      <c r="J223" s="507"/>
      <c r="K223" s="573"/>
      <c r="L223" s="507"/>
      <c r="M223" s="507"/>
      <c r="N223" s="507"/>
    </row>
    <row r="224" spans="1:26" x14ac:dyDescent="0.2">
      <c r="B224" s="507"/>
      <c r="C224" s="507"/>
      <c r="D224" s="507"/>
      <c r="E224" s="507"/>
      <c r="F224" s="507"/>
      <c r="G224" s="507"/>
      <c r="H224" s="507"/>
      <c r="I224" s="507"/>
      <c r="J224" s="507"/>
      <c r="K224" s="573"/>
      <c r="L224" s="507"/>
      <c r="M224" s="507"/>
      <c r="N224" s="507"/>
    </row>
    <row r="225" spans="2:14" x14ac:dyDescent="0.2">
      <c r="B225" s="507"/>
      <c r="C225" s="507"/>
      <c r="D225" s="507"/>
      <c r="E225" s="507"/>
      <c r="F225" s="507"/>
      <c r="G225" s="507"/>
      <c r="H225" s="507"/>
      <c r="I225" s="507"/>
      <c r="J225" s="507"/>
      <c r="K225" s="573"/>
      <c r="L225" s="507"/>
      <c r="M225" s="507"/>
      <c r="N225" s="507"/>
    </row>
    <row r="226" spans="2:14" x14ac:dyDescent="0.2">
      <c r="B226" s="507"/>
      <c r="C226" s="507"/>
      <c r="D226" s="507"/>
      <c r="E226" s="507"/>
      <c r="F226" s="507"/>
      <c r="G226" s="507"/>
      <c r="H226" s="507"/>
      <c r="I226" s="507"/>
      <c r="J226" s="507"/>
      <c r="K226" s="573"/>
      <c r="L226" s="507"/>
      <c r="M226" s="507"/>
      <c r="N226" s="507"/>
    </row>
    <row r="227" spans="2:14" x14ac:dyDescent="0.2">
      <c r="B227" s="507"/>
      <c r="C227" s="507"/>
      <c r="D227" s="507"/>
      <c r="E227" s="507"/>
      <c r="F227" s="507"/>
      <c r="G227" s="507"/>
      <c r="H227" s="507"/>
      <c r="I227" s="507"/>
      <c r="J227" s="507"/>
      <c r="K227" s="573"/>
      <c r="L227" s="507"/>
      <c r="M227" s="507"/>
      <c r="N227" s="507"/>
    </row>
    <row r="228" spans="2:14" x14ac:dyDescent="0.2">
      <c r="B228" s="507"/>
      <c r="C228" s="507"/>
      <c r="D228" s="507"/>
      <c r="E228" s="507"/>
      <c r="F228" s="507"/>
      <c r="G228" s="507"/>
      <c r="H228" s="507"/>
      <c r="I228" s="507"/>
      <c r="J228" s="507"/>
      <c r="K228" s="573"/>
      <c r="L228" s="507"/>
      <c r="M228" s="507"/>
      <c r="N228" s="507"/>
    </row>
    <row r="229" spans="2:14" x14ac:dyDescent="0.2">
      <c r="B229" s="507"/>
      <c r="C229" s="507"/>
      <c r="D229" s="507"/>
      <c r="E229" s="507"/>
      <c r="F229" s="507"/>
      <c r="G229" s="507"/>
      <c r="H229" s="507"/>
      <c r="I229" s="507"/>
      <c r="J229" s="507"/>
      <c r="K229" s="573"/>
      <c r="L229" s="507"/>
      <c r="M229" s="507"/>
      <c r="N229" s="507"/>
    </row>
    <row r="230" spans="2:14" x14ac:dyDescent="0.2">
      <c r="B230" s="507"/>
      <c r="C230" s="507"/>
      <c r="D230" s="507"/>
      <c r="E230" s="507"/>
      <c r="F230" s="507"/>
      <c r="G230" s="507"/>
      <c r="H230" s="507"/>
      <c r="I230" s="507"/>
      <c r="J230" s="507"/>
      <c r="K230" s="573"/>
      <c r="L230" s="507"/>
      <c r="M230" s="507"/>
      <c r="N230" s="507"/>
    </row>
    <row r="231" spans="2:14" x14ac:dyDescent="0.2">
      <c r="B231" s="507"/>
      <c r="C231" s="507"/>
      <c r="D231" s="507"/>
      <c r="E231" s="507"/>
      <c r="F231" s="507"/>
      <c r="G231" s="507"/>
      <c r="H231" s="507"/>
      <c r="I231" s="507"/>
      <c r="J231" s="507"/>
      <c r="K231" s="573"/>
      <c r="L231" s="507"/>
      <c r="M231" s="507"/>
      <c r="N231" s="507"/>
    </row>
    <row r="232" spans="2:14" x14ac:dyDescent="0.2">
      <c r="B232" s="507"/>
      <c r="C232" s="507"/>
      <c r="D232" s="507"/>
      <c r="E232" s="507"/>
      <c r="F232" s="507"/>
      <c r="G232" s="507"/>
      <c r="H232" s="507"/>
      <c r="I232" s="507"/>
      <c r="J232" s="507"/>
      <c r="K232" s="573"/>
      <c r="L232" s="507"/>
      <c r="M232" s="507"/>
      <c r="N232" s="507"/>
    </row>
    <row r="233" spans="2:14" s="507" customFormat="1" x14ac:dyDescent="0.2">
      <c r="K233" s="573"/>
    </row>
    <row r="234" spans="2:14" s="507" customFormat="1" x14ac:dyDescent="0.2">
      <c r="K234" s="573"/>
    </row>
    <row r="235" spans="2:14" s="507" customFormat="1" x14ac:dyDescent="0.2">
      <c r="K235" s="573"/>
    </row>
    <row r="236" spans="2:14" s="507" customFormat="1" x14ac:dyDescent="0.2">
      <c r="K236" s="573"/>
    </row>
    <row r="237" spans="2:14" s="507" customFormat="1" x14ac:dyDescent="0.2">
      <c r="K237" s="573"/>
    </row>
    <row r="238" spans="2:14" s="507" customFormat="1" x14ac:dyDescent="0.2">
      <c r="K238" s="573"/>
    </row>
    <row r="239" spans="2:14" s="507" customFormat="1" x14ac:dyDescent="0.2">
      <c r="K239" s="573"/>
    </row>
    <row r="240" spans="2:14" s="507" customFormat="1" x14ac:dyDescent="0.2">
      <c r="K240" s="573"/>
    </row>
    <row r="241" spans="11:11" s="507" customFormat="1" x14ac:dyDescent="0.2">
      <c r="K241" s="573"/>
    </row>
    <row r="242" spans="11:11" s="507" customFormat="1" x14ac:dyDescent="0.2">
      <c r="K242" s="573"/>
    </row>
    <row r="243" spans="11:11" s="507" customFormat="1" x14ac:dyDescent="0.2">
      <c r="K243" s="573"/>
    </row>
    <row r="244" spans="11:11" s="507" customFormat="1" x14ac:dyDescent="0.2">
      <c r="K244" s="573"/>
    </row>
    <row r="245" spans="11:11" s="507" customFormat="1" x14ac:dyDescent="0.2">
      <c r="K245" s="573"/>
    </row>
    <row r="246" spans="11:11" s="507" customFormat="1" x14ac:dyDescent="0.2">
      <c r="K246" s="573"/>
    </row>
    <row r="247" spans="11:11" s="507" customFormat="1" x14ac:dyDescent="0.2">
      <c r="K247" s="573"/>
    </row>
    <row r="248" spans="11:11" s="507" customFormat="1" x14ac:dyDescent="0.2">
      <c r="K248" s="573"/>
    </row>
    <row r="249" spans="11:11" s="507" customFormat="1" x14ac:dyDescent="0.2">
      <c r="K249" s="573"/>
    </row>
    <row r="250" spans="11:11" s="507" customFormat="1" x14ac:dyDescent="0.2">
      <c r="K250" s="573"/>
    </row>
    <row r="251" spans="11:11" s="507" customFormat="1" x14ac:dyDescent="0.2">
      <c r="K251" s="573"/>
    </row>
    <row r="252" spans="11:11" s="507" customFormat="1" x14ac:dyDescent="0.2">
      <c r="K252" s="573"/>
    </row>
    <row r="253" spans="11:11" s="507" customFormat="1" x14ac:dyDescent="0.2">
      <c r="K253" s="573"/>
    </row>
    <row r="254" spans="11:11" s="507" customFormat="1" x14ac:dyDescent="0.2">
      <c r="K254" s="573"/>
    </row>
    <row r="255" spans="11:11" s="507" customFormat="1" x14ac:dyDescent="0.2">
      <c r="K255" s="573"/>
    </row>
    <row r="256" spans="11:11" s="507" customFormat="1" x14ac:dyDescent="0.2">
      <c r="K256" s="573"/>
    </row>
    <row r="257" spans="11:11" s="507" customFormat="1" x14ac:dyDescent="0.2">
      <c r="K257" s="573"/>
    </row>
    <row r="258" spans="11:11" s="507" customFormat="1" x14ac:dyDescent="0.2">
      <c r="K258" s="573"/>
    </row>
    <row r="259" spans="11:11" s="507" customFormat="1" x14ac:dyDescent="0.2">
      <c r="K259" s="573"/>
    </row>
    <row r="260" spans="11:11" s="507" customFormat="1" x14ac:dyDescent="0.2">
      <c r="K260" s="573"/>
    </row>
    <row r="261" spans="11:11" s="507" customFormat="1" x14ac:dyDescent="0.2">
      <c r="K261" s="573"/>
    </row>
    <row r="262" spans="11:11" s="507" customFormat="1" x14ac:dyDescent="0.2">
      <c r="K262" s="573"/>
    </row>
    <row r="263" spans="11:11" s="507" customFormat="1" x14ac:dyDescent="0.2">
      <c r="K263" s="573"/>
    </row>
    <row r="264" spans="11:11" s="507" customFormat="1" x14ac:dyDescent="0.2">
      <c r="K264" s="573"/>
    </row>
    <row r="265" spans="11:11" s="507" customFormat="1" x14ac:dyDescent="0.2">
      <c r="K265" s="573"/>
    </row>
    <row r="266" spans="11:11" s="507" customFormat="1" x14ac:dyDescent="0.2">
      <c r="K266" s="573"/>
    </row>
    <row r="267" spans="11:11" s="507" customFormat="1" x14ac:dyDescent="0.2">
      <c r="K267" s="573"/>
    </row>
    <row r="268" spans="11:11" s="507" customFormat="1" x14ac:dyDescent="0.2">
      <c r="K268" s="573"/>
    </row>
    <row r="269" spans="11:11" s="507" customFormat="1" x14ac:dyDescent="0.2">
      <c r="K269" s="573"/>
    </row>
    <row r="270" spans="11:11" s="507" customFormat="1" x14ac:dyDescent="0.2">
      <c r="K270" s="573"/>
    </row>
    <row r="271" spans="11:11" s="507" customFormat="1" x14ac:dyDescent="0.2">
      <c r="K271" s="573"/>
    </row>
    <row r="272" spans="11:11" s="507" customFormat="1" x14ac:dyDescent="0.2">
      <c r="K272" s="573"/>
    </row>
    <row r="273" spans="11:11" s="507" customFormat="1" x14ac:dyDescent="0.2">
      <c r="K273" s="573"/>
    </row>
    <row r="274" spans="11:11" s="507" customFormat="1" x14ac:dyDescent="0.2">
      <c r="K274" s="573"/>
    </row>
    <row r="275" spans="11:11" s="507" customFormat="1" x14ac:dyDescent="0.2">
      <c r="K275" s="573"/>
    </row>
    <row r="276" spans="11:11" s="507" customFormat="1" x14ac:dyDescent="0.2">
      <c r="K276" s="573"/>
    </row>
    <row r="277" spans="11:11" s="507" customFormat="1" x14ac:dyDescent="0.2">
      <c r="K277" s="573"/>
    </row>
    <row r="278" spans="11:11" s="507" customFormat="1" x14ac:dyDescent="0.2">
      <c r="K278" s="573"/>
    </row>
    <row r="279" spans="11:11" s="507" customFormat="1" x14ac:dyDescent="0.2">
      <c r="K279" s="573"/>
    </row>
    <row r="280" spans="11:11" s="507" customFormat="1" x14ac:dyDescent="0.2">
      <c r="K280" s="573"/>
    </row>
    <row r="281" spans="11:11" s="507" customFormat="1" x14ac:dyDescent="0.2">
      <c r="K281" s="573"/>
    </row>
    <row r="282" spans="11:11" s="507" customFormat="1" x14ac:dyDescent="0.2">
      <c r="K282" s="573"/>
    </row>
    <row r="283" spans="11:11" s="507" customFormat="1" x14ac:dyDescent="0.2">
      <c r="K283" s="573"/>
    </row>
    <row r="284" spans="11:11" s="507" customFormat="1" x14ac:dyDescent="0.2">
      <c r="K284" s="573"/>
    </row>
    <row r="285" spans="11:11" s="507" customFormat="1" x14ac:dyDescent="0.2">
      <c r="K285" s="573"/>
    </row>
    <row r="286" spans="11:11" s="507" customFormat="1" x14ac:dyDescent="0.2">
      <c r="K286" s="573"/>
    </row>
    <row r="287" spans="11:11" s="507" customFormat="1" x14ac:dyDescent="0.2">
      <c r="K287" s="573"/>
    </row>
    <row r="288" spans="11:11" s="507" customFormat="1" x14ac:dyDescent="0.2">
      <c r="K288" s="573"/>
    </row>
    <row r="289" spans="11:11" s="507" customFormat="1" x14ac:dyDescent="0.2">
      <c r="K289" s="573"/>
    </row>
    <row r="290" spans="11:11" s="507" customFormat="1" x14ac:dyDescent="0.2">
      <c r="K290" s="573"/>
    </row>
    <row r="291" spans="11:11" s="507" customFormat="1" x14ac:dyDescent="0.2">
      <c r="K291" s="573"/>
    </row>
    <row r="292" spans="11:11" s="507" customFormat="1" x14ac:dyDescent="0.2">
      <c r="K292" s="573"/>
    </row>
    <row r="293" spans="11:11" s="507" customFormat="1" x14ac:dyDescent="0.2">
      <c r="K293" s="573"/>
    </row>
    <row r="294" spans="11:11" s="507" customFormat="1" x14ac:dyDescent="0.2">
      <c r="K294" s="573"/>
    </row>
    <row r="295" spans="11:11" s="507" customFormat="1" x14ac:dyDescent="0.2">
      <c r="K295" s="573"/>
    </row>
    <row r="296" spans="11:11" s="507" customFormat="1" x14ac:dyDescent="0.2">
      <c r="K296" s="573"/>
    </row>
    <row r="297" spans="11:11" s="507" customFormat="1" x14ac:dyDescent="0.2">
      <c r="K297" s="573"/>
    </row>
    <row r="298" spans="11:11" s="507" customFormat="1" x14ac:dyDescent="0.2">
      <c r="K298" s="573"/>
    </row>
    <row r="299" spans="11:11" s="507" customFormat="1" x14ac:dyDescent="0.2">
      <c r="K299" s="573"/>
    </row>
    <row r="300" spans="11:11" s="507" customFormat="1" x14ac:dyDescent="0.2">
      <c r="K300" s="573"/>
    </row>
    <row r="301" spans="11:11" s="507" customFormat="1" x14ac:dyDescent="0.2">
      <c r="K301" s="573"/>
    </row>
    <row r="302" spans="11:11" s="507" customFormat="1" x14ac:dyDescent="0.2">
      <c r="K302" s="573"/>
    </row>
    <row r="303" spans="11:11" s="507" customFormat="1" x14ac:dyDescent="0.2">
      <c r="K303" s="573"/>
    </row>
    <row r="304" spans="11:11" s="507" customFormat="1" x14ac:dyDescent="0.2">
      <c r="K304" s="573"/>
    </row>
    <row r="305" spans="11:11" s="507" customFormat="1" x14ac:dyDescent="0.2">
      <c r="K305" s="573"/>
    </row>
    <row r="306" spans="11:11" s="507" customFormat="1" x14ac:dyDescent="0.2">
      <c r="K306" s="573"/>
    </row>
    <row r="307" spans="11:11" s="507" customFormat="1" x14ac:dyDescent="0.2">
      <c r="K307" s="573"/>
    </row>
    <row r="308" spans="11:11" s="507" customFormat="1" x14ac:dyDescent="0.2">
      <c r="K308" s="573"/>
    </row>
    <row r="309" spans="11:11" s="507" customFormat="1" x14ac:dyDescent="0.2">
      <c r="K309" s="573"/>
    </row>
    <row r="310" spans="11:11" s="507" customFormat="1" x14ac:dyDescent="0.2">
      <c r="K310" s="573"/>
    </row>
    <row r="311" spans="11:11" s="507" customFormat="1" x14ac:dyDescent="0.2">
      <c r="K311" s="573"/>
    </row>
    <row r="312" spans="11:11" s="507" customFormat="1" x14ac:dyDescent="0.2">
      <c r="K312" s="573"/>
    </row>
    <row r="313" spans="11:11" s="507" customFormat="1" x14ac:dyDescent="0.2">
      <c r="K313" s="573"/>
    </row>
    <row r="314" spans="11:11" s="507" customFormat="1" x14ac:dyDescent="0.2">
      <c r="K314" s="573"/>
    </row>
    <row r="315" spans="11:11" s="507" customFormat="1" x14ac:dyDescent="0.2">
      <c r="K315" s="573"/>
    </row>
    <row r="316" spans="11:11" s="507" customFormat="1" x14ac:dyDescent="0.2">
      <c r="K316" s="573"/>
    </row>
    <row r="317" spans="11:11" s="507" customFormat="1" x14ac:dyDescent="0.2">
      <c r="K317" s="573"/>
    </row>
    <row r="318" spans="11:11" s="507" customFormat="1" x14ac:dyDescent="0.2">
      <c r="K318" s="573"/>
    </row>
    <row r="319" spans="11:11" s="507" customFormat="1" x14ac:dyDescent="0.2">
      <c r="K319" s="573"/>
    </row>
    <row r="320" spans="11:11" s="507" customFormat="1" x14ac:dyDescent="0.2">
      <c r="K320" s="573"/>
    </row>
    <row r="321" spans="11:11" s="507" customFormat="1" x14ac:dyDescent="0.2">
      <c r="K321" s="573"/>
    </row>
    <row r="322" spans="11:11" s="507" customFormat="1" x14ac:dyDescent="0.2">
      <c r="K322" s="573"/>
    </row>
    <row r="323" spans="11:11" s="507" customFormat="1" x14ac:dyDescent="0.2">
      <c r="K323" s="573"/>
    </row>
    <row r="324" spans="11:11" s="507" customFormat="1" x14ac:dyDescent="0.2">
      <c r="K324" s="573"/>
    </row>
    <row r="325" spans="11:11" s="507" customFormat="1" x14ac:dyDescent="0.2">
      <c r="K325" s="573"/>
    </row>
    <row r="326" spans="11:11" s="507" customFormat="1" x14ac:dyDescent="0.2">
      <c r="K326" s="573"/>
    </row>
    <row r="327" spans="11:11" s="507" customFormat="1" x14ac:dyDescent="0.2">
      <c r="K327" s="573"/>
    </row>
    <row r="328" spans="11:11" s="507" customFormat="1" x14ac:dyDescent="0.2">
      <c r="K328" s="573"/>
    </row>
    <row r="329" spans="11:11" s="507" customFormat="1" x14ac:dyDescent="0.2">
      <c r="K329" s="573"/>
    </row>
    <row r="330" spans="11:11" s="507" customFormat="1" x14ac:dyDescent="0.2">
      <c r="K330" s="573"/>
    </row>
    <row r="331" spans="11:11" s="507" customFormat="1" x14ac:dyDescent="0.2">
      <c r="K331" s="573"/>
    </row>
    <row r="332" spans="11:11" s="507" customFormat="1" x14ac:dyDescent="0.2">
      <c r="K332" s="573"/>
    </row>
    <row r="333" spans="11:11" s="507" customFormat="1" x14ac:dyDescent="0.2">
      <c r="K333" s="573"/>
    </row>
    <row r="334" spans="11:11" s="507" customFormat="1" x14ac:dyDescent="0.2">
      <c r="K334" s="573"/>
    </row>
    <row r="335" spans="11:11" s="507" customFormat="1" x14ac:dyDescent="0.2">
      <c r="K335" s="573"/>
    </row>
    <row r="336" spans="11:11" s="507" customFormat="1" x14ac:dyDescent="0.2">
      <c r="K336" s="573"/>
    </row>
    <row r="337" spans="11:11" s="507" customFormat="1" x14ac:dyDescent="0.2">
      <c r="K337" s="573"/>
    </row>
    <row r="338" spans="11:11" s="507" customFormat="1" x14ac:dyDescent="0.2">
      <c r="K338" s="573"/>
    </row>
    <row r="339" spans="11:11" s="507" customFormat="1" x14ac:dyDescent="0.2">
      <c r="K339" s="573"/>
    </row>
    <row r="340" spans="11:11" s="507" customFormat="1" x14ac:dyDescent="0.2">
      <c r="K340" s="573"/>
    </row>
    <row r="341" spans="11:11" s="507" customFormat="1" x14ac:dyDescent="0.2">
      <c r="K341" s="573"/>
    </row>
    <row r="342" spans="11:11" s="507" customFormat="1" x14ac:dyDescent="0.2">
      <c r="K342" s="573"/>
    </row>
    <row r="343" spans="11:11" s="507" customFormat="1" x14ac:dyDescent="0.2">
      <c r="K343" s="573"/>
    </row>
    <row r="344" spans="11:11" s="507" customFormat="1" x14ac:dyDescent="0.2">
      <c r="K344" s="573"/>
    </row>
    <row r="345" spans="11:11" s="507" customFormat="1" x14ac:dyDescent="0.2">
      <c r="K345" s="573"/>
    </row>
    <row r="346" spans="11:11" s="507" customFormat="1" x14ac:dyDescent="0.2">
      <c r="K346" s="573"/>
    </row>
    <row r="347" spans="11:11" s="507" customFormat="1" x14ac:dyDescent="0.2">
      <c r="K347" s="573"/>
    </row>
    <row r="348" spans="11:11" s="507" customFormat="1" x14ac:dyDescent="0.2">
      <c r="K348" s="573"/>
    </row>
    <row r="349" spans="11:11" s="507" customFormat="1" x14ac:dyDescent="0.2">
      <c r="K349" s="573"/>
    </row>
    <row r="350" spans="11:11" s="507" customFormat="1" x14ac:dyDescent="0.2">
      <c r="K350" s="573"/>
    </row>
    <row r="351" spans="11:11" s="507" customFormat="1" x14ac:dyDescent="0.2">
      <c r="K351" s="573"/>
    </row>
    <row r="352" spans="11:11" s="507" customFormat="1" x14ac:dyDescent="0.2">
      <c r="K352" s="573"/>
    </row>
    <row r="353" spans="11:11" s="507" customFormat="1" x14ac:dyDescent="0.2">
      <c r="K353" s="573"/>
    </row>
    <row r="354" spans="11:11" s="507" customFormat="1" x14ac:dyDescent="0.2">
      <c r="K354" s="573"/>
    </row>
    <row r="355" spans="11:11" s="507" customFormat="1" x14ac:dyDescent="0.2">
      <c r="K355" s="573"/>
    </row>
    <row r="356" spans="11:11" s="507" customFormat="1" x14ac:dyDescent="0.2">
      <c r="K356" s="573"/>
    </row>
    <row r="357" spans="11:11" s="507" customFormat="1" x14ac:dyDescent="0.2">
      <c r="K357" s="573"/>
    </row>
    <row r="358" spans="11:11" s="507" customFormat="1" x14ac:dyDescent="0.2">
      <c r="K358" s="573"/>
    </row>
    <row r="359" spans="11:11" s="507" customFormat="1" x14ac:dyDescent="0.2">
      <c r="K359" s="573"/>
    </row>
    <row r="360" spans="11:11" s="507" customFormat="1" x14ac:dyDescent="0.2">
      <c r="K360" s="573"/>
    </row>
    <row r="361" spans="11:11" s="507" customFormat="1" x14ac:dyDescent="0.2">
      <c r="K361" s="573"/>
    </row>
    <row r="362" spans="11:11" s="507" customFormat="1" x14ac:dyDescent="0.2">
      <c r="K362" s="573"/>
    </row>
    <row r="363" spans="11:11" s="507" customFormat="1" x14ac:dyDescent="0.2">
      <c r="K363" s="573"/>
    </row>
    <row r="364" spans="11:11" s="507" customFormat="1" x14ac:dyDescent="0.2">
      <c r="K364" s="573"/>
    </row>
    <row r="365" spans="11:11" s="507" customFormat="1" x14ac:dyDescent="0.2">
      <c r="K365" s="573"/>
    </row>
    <row r="366" spans="11:11" s="507" customFormat="1" x14ac:dyDescent="0.2">
      <c r="K366" s="573"/>
    </row>
    <row r="367" spans="11:11" s="507" customFormat="1" x14ac:dyDescent="0.2">
      <c r="K367" s="573"/>
    </row>
    <row r="368" spans="11:11" s="507" customFormat="1" x14ac:dyDescent="0.2">
      <c r="K368" s="573"/>
    </row>
    <row r="369" spans="11:11" s="507" customFormat="1" x14ac:dyDescent="0.2">
      <c r="K369" s="573"/>
    </row>
    <row r="370" spans="11:11" s="507" customFormat="1" x14ac:dyDescent="0.2">
      <c r="K370" s="573"/>
    </row>
    <row r="371" spans="11:11" s="507" customFormat="1" x14ac:dyDescent="0.2">
      <c r="K371" s="573"/>
    </row>
    <row r="372" spans="11:11" s="507" customFormat="1" x14ac:dyDescent="0.2">
      <c r="K372" s="573"/>
    </row>
    <row r="373" spans="11:11" s="507" customFormat="1" x14ac:dyDescent="0.2">
      <c r="K373" s="573"/>
    </row>
    <row r="374" spans="11:11" s="507" customFormat="1" x14ac:dyDescent="0.2">
      <c r="K374" s="573"/>
    </row>
    <row r="375" spans="11:11" s="507" customFormat="1" x14ac:dyDescent="0.2">
      <c r="K375" s="573"/>
    </row>
    <row r="376" spans="11:11" s="507" customFormat="1" x14ac:dyDescent="0.2">
      <c r="K376" s="573"/>
    </row>
    <row r="377" spans="11:11" s="507" customFormat="1" x14ac:dyDescent="0.2">
      <c r="K377" s="573"/>
    </row>
    <row r="378" spans="11:11" s="507" customFormat="1" x14ac:dyDescent="0.2">
      <c r="K378" s="573"/>
    </row>
    <row r="379" spans="11:11" s="507" customFormat="1" x14ac:dyDescent="0.2">
      <c r="K379" s="573"/>
    </row>
    <row r="380" spans="11:11" s="507" customFormat="1" x14ac:dyDescent="0.2">
      <c r="K380" s="573"/>
    </row>
    <row r="381" spans="11:11" s="507" customFormat="1" x14ac:dyDescent="0.2">
      <c r="K381" s="573"/>
    </row>
    <row r="382" spans="11:11" s="507" customFormat="1" x14ac:dyDescent="0.2">
      <c r="K382" s="573"/>
    </row>
    <row r="383" spans="11:11" s="507" customFormat="1" x14ac:dyDescent="0.2">
      <c r="K383" s="573"/>
    </row>
    <row r="384" spans="11:11" s="507" customFormat="1" x14ac:dyDescent="0.2">
      <c r="K384" s="573"/>
    </row>
    <row r="385" spans="11:11" s="507" customFormat="1" x14ac:dyDescent="0.2">
      <c r="K385" s="573"/>
    </row>
    <row r="386" spans="11:11" s="507" customFormat="1" x14ac:dyDescent="0.2">
      <c r="K386" s="573"/>
    </row>
    <row r="387" spans="11:11" s="507" customFormat="1" x14ac:dyDescent="0.2">
      <c r="K387" s="573"/>
    </row>
    <row r="388" spans="11:11" s="507" customFormat="1" x14ac:dyDescent="0.2">
      <c r="K388" s="573"/>
    </row>
    <row r="389" spans="11:11" s="507" customFormat="1" x14ac:dyDescent="0.2">
      <c r="K389" s="573"/>
    </row>
    <row r="390" spans="11:11" s="507" customFormat="1" x14ac:dyDescent="0.2">
      <c r="K390" s="573"/>
    </row>
    <row r="391" spans="11:11" s="507" customFormat="1" x14ac:dyDescent="0.2">
      <c r="K391" s="573"/>
    </row>
    <row r="392" spans="11:11" s="507" customFormat="1" x14ac:dyDescent="0.2">
      <c r="K392" s="573"/>
    </row>
    <row r="393" spans="11:11" s="507" customFormat="1" x14ac:dyDescent="0.2">
      <c r="K393" s="573"/>
    </row>
    <row r="394" spans="11:11" s="507" customFormat="1" x14ac:dyDescent="0.2">
      <c r="K394" s="573"/>
    </row>
    <row r="395" spans="11:11" s="507" customFormat="1" x14ac:dyDescent="0.2">
      <c r="K395" s="573"/>
    </row>
    <row r="396" spans="11:11" s="507" customFormat="1" x14ac:dyDescent="0.2">
      <c r="K396" s="573"/>
    </row>
    <row r="397" spans="11:11" s="507" customFormat="1" x14ac:dyDescent="0.2">
      <c r="K397" s="573"/>
    </row>
    <row r="398" spans="11:11" s="507" customFormat="1" x14ac:dyDescent="0.2">
      <c r="K398" s="573"/>
    </row>
    <row r="399" spans="11:11" s="507" customFormat="1" x14ac:dyDescent="0.2">
      <c r="K399" s="573"/>
    </row>
    <row r="400" spans="11:11" s="507" customFormat="1" x14ac:dyDescent="0.2">
      <c r="K400" s="573"/>
    </row>
    <row r="401" spans="11:11" s="507" customFormat="1" x14ac:dyDescent="0.2">
      <c r="K401" s="573"/>
    </row>
    <row r="402" spans="11:11" s="507" customFormat="1" x14ac:dyDescent="0.2">
      <c r="K402" s="573"/>
    </row>
    <row r="403" spans="11:11" s="507" customFormat="1" x14ac:dyDescent="0.2">
      <c r="K403" s="573"/>
    </row>
    <row r="404" spans="11:11" s="507" customFormat="1" x14ac:dyDescent="0.2">
      <c r="K404" s="573"/>
    </row>
    <row r="405" spans="11:11" s="507" customFormat="1" x14ac:dyDescent="0.2">
      <c r="K405" s="573"/>
    </row>
    <row r="406" spans="11:11" s="507" customFormat="1" x14ac:dyDescent="0.2">
      <c r="K406" s="573"/>
    </row>
    <row r="407" spans="11:11" s="507" customFormat="1" x14ac:dyDescent="0.2">
      <c r="K407" s="573"/>
    </row>
    <row r="408" spans="11:11" s="507" customFormat="1" x14ac:dyDescent="0.2">
      <c r="K408" s="573"/>
    </row>
    <row r="409" spans="11:11" s="507" customFormat="1" x14ac:dyDescent="0.2">
      <c r="K409" s="573"/>
    </row>
    <row r="410" spans="11:11" s="507" customFormat="1" x14ac:dyDescent="0.2">
      <c r="K410" s="573"/>
    </row>
    <row r="411" spans="11:11" s="507" customFormat="1" x14ac:dyDescent="0.2">
      <c r="K411" s="573"/>
    </row>
    <row r="412" spans="11:11" s="507" customFormat="1" x14ac:dyDescent="0.2">
      <c r="K412" s="573"/>
    </row>
    <row r="413" spans="11:11" s="507" customFormat="1" x14ac:dyDescent="0.2">
      <c r="K413" s="573"/>
    </row>
    <row r="414" spans="11:11" s="507" customFormat="1" x14ac:dyDescent="0.2">
      <c r="K414" s="573"/>
    </row>
    <row r="415" spans="11:11" s="507" customFormat="1" x14ac:dyDescent="0.2">
      <c r="K415" s="573"/>
    </row>
    <row r="416" spans="11:11" s="507" customFormat="1" x14ac:dyDescent="0.2">
      <c r="K416" s="573"/>
    </row>
    <row r="417" spans="11:11" s="507" customFormat="1" x14ac:dyDescent="0.2">
      <c r="K417" s="573"/>
    </row>
    <row r="418" spans="11:11" s="507" customFormat="1" x14ac:dyDescent="0.2">
      <c r="K418" s="573"/>
    </row>
    <row r="419" spans="11:11" s="507" customFormat="1" x14ac:dyDescent="0.2">
      <c r="K419" s="573"/>
    </row>
    <row r="420" spans="11:11" s="507" customFormat="1" x14ac:dyDescent="0.2">
      <c r="K420" s="573"/>
    </row>
    <row r="421" spans="11:11" s="507" customFormat="1" x14ac:dyDescent="0.2">
      <c r="K421" s="573"/>
    </row>
    <row r="422" spans="11:11" s="507" customFormat="1" x14ac:dyDescent="0.2">
      <c r="K422" s="573"/>
    </row>
    <row r="423" spans="11:11" s="507" customFormat="1" x14ac:dyDescent="0.2">
      <c r="K423" s="573"/>
    </row>
    <row r="424" spans="11:11" s="507" customFormat="1" x14ac:dyDescent="0.2">
      <c r="K424" s="573"/>
    </row>
    <row r="425" spans="11:11" s="507" customFormat="1" x14ac:dyDescent="0.2">
      <c r="K425" s="573"/>
    </row>
    <row r="426" spans="11:11" s="507" customFormat="1" x14ac:dyDescent="0.2">
      <c r="K426" s="573"/>
    </row>
    <row r="427" spans="11:11" s="507" customFormat="1" x14ac:dyDescent="0.2">
      <c r="K427" s="573"/>
    </row>
    <row r="428" spans="11:11" s="507" customFormat="1" x14ac:dyDescent="0.2">
      <c r="K428" s="573"/>
    </row>
    <row r="429" spans="11:11" s="507" customFormat="1" x14ac:dyDescent="0.2">
      <c r="K429" s="573"/>
    </row>
    <row r="430" spans="11:11" s="507" customFormat="1" x14ac:dyDescent="0.2">
      <c r="K430" s="573"/>
    </row>
    <row r="431" spans="11:11" s="507" customFormat="1" x14ac:dyDescent="0.2">
      <c r="K431" s="573"/>
    </row>
    <row r="432" spans="11:11" s="507" customFormat="1" x14ac:dyDescent="0.2">
      <c r="K432" s="573"/>
    </row>
    <row r="433" spans="11:11" s="507" customFormat="1" x14ac:dyDescent="0.2">
      <c r="K433" s="573"/>
    </row>
    <row r="434" spans="11:11" s="507" customFormat="1" x14ac:dyDescent="0.2">
      <c r="K434" s="573"/>
    </row>
    <row r="435" spans="11:11" s="507" customFormat="1" x14ac:dyDescent="0.2">
      <c r="K435" s="573"/>
    </row>
    <row r="436" spans="11:11" s="507" customFormat="1" x14ac:dyDescent="0.2">
      <c r="K436" s="573"/>
    </row>
    <row r="437" spans="11:11" s="507" customFormat="1" x14ac:dyDescent="0.2">
      <c r="K437" s="573"/>
    </row>
    <row r="438" spans="11:11" s="507" customFormat="1" x14ac:dyDescent="0.2">
      <c r="K438" s="573"/>
    </row>
    <row r="439" spans="11:11" s="507" customFormat="1" x14ac:dyDescent="0.2">
      <c r="K439" s="573"/>
    </row>
    <row r="440" spans="11:11" s="507" customFormat="1" x14ac:dyDescent="0.2">
      <c r="K440" s="573"/>
    </row>
    <row r="441" spans="11:11" s="507" customFormat="1" x14ac:dyDescent="0.2">
      <c r="K441" s="573"/>
    </row>
    <row r="442" spans="11:11" s="507" customFormat="1" x14ac:dyDescent="0.2">
      <c r="K442" s="573"/>
    </row>
    <row r="443" spans="11:11" s="507" customFormat="1" x14ac:dyDescent="0.2">
      <c r="K443" s="573"/>
    </row>
    <row r="444" spans="11:11" s="507" customFormat="1" x14ac:dyDescent="0.2">
      <c r="K444" s="573"/>
    </row>
    <row r="445" spans="11:11" s="507" customFormat="1" x14ac:dyDescent="0.2">
      <c r="K445" s="573"/>
    </row>
    <row r="446" spans="11:11" s="507" customFormat="1" x14ac:dyDescent="0.2">
      <c r="K446" s="573"/>
    </row>
    <row r="447" spans="11:11" s="507" customFormat="1" x14ac:dyDescent="0.2">
      <c r="K447" s="573"/>
    </row>
    <row r="448" spans="11:11" s="507" customFormat="1" x14ac:dyDescent="0.2">
      <c r="K448" s="573"/>
    </row>
    <row r="449" spans="11:11" s="507" customFormat="1" x14ac:dyDescent="0.2">
      <c r="K449" s="573"/>
    </row>
    <row r="450" spans="11:11" s="507" customFormat="1" x14ac:dyDescent="0.2">
      <c r="K450" s="573"/>
    </row>
    <row r="451" spans="11:11" s="507" customFormat="1" x14ac:dyDescent="0.2">
      <c r="K451" s="573"/>
    </row>
    <row r="452" spans="11:11" s="507" customFormat="1" x14ac:dyDescent="0.2">
      <c r="K452" s="573"/>
    </row>
    <row r="453" spans="11:11" s="507" customFormat="1" x14ac:dyDescent="0.2">
      <c r="K453" s="573"/>
    </row>
    <row r="454" spans="11:11" s="507" customFormat="1" x14ac:dyDescent="0.2">
      <c r="K454" s="573"/>
    </row>
    <row r="455" spans="11:11" s="507" customFormat="1" x14ac:dyDescent="0.2">
      <c r="K455" s="573"/>
    </row>
    <row r="456" spans="11:11" s="507" customFormat="1" x14ac:dyDescent="0.2">
      <c r="K456" s="573"/>
    </row>
    <row r="457" spans="11:11" s="507" customFormat="1" x14ac:dyDescent="0.2">
      <c r="K457" s="573"/>
    </row>
    <row r="458" spans="11:11" s="507" customFormat="1" x14ac:dyDescent="0.2">
      <c r="K458" s="573"/>
    </row>
    <row r="459" spans="11:11" s="507" customFormat="1" x14ac:dyDescent="0.2">
      <c r="K459" s="573"/>
    </row>
    <row r="460" spans="11:11" s="507" customFormat="1" x14ac:dyDescent="0.2">
      <c r="K460" s="573"/>
    </row>
    <row r="461" spans="11:11" s="507" customFormat="1" x14ac:dyDescent="0.2">
      <c r="K461" s="573"/>
    </row>
    <row r="462" spans="11:11" s="507" customFormat="1" x14ac:dyDescent="0.2">
      <c r="K462" s="573"/>
    </row>
    <row r="463" spans="11:11" s="507" customFormat="1" x14ac:dyDescent="0.2">
      <c r="K463" s="573"/>
    </row>
    <row r="464" spans="11:11" s="507" customFormat="1" x14ac:dyDescent="0.2">
      <c r="K464" s="573"/>
    </row>
    <row r="465" spans="11:11" s="507" customFormat="1" x14ac:dyDescent="0.2">
      <c r="K465" s="573"/>
    </row>
    <row r="466" spans="11:11" s="507" customFormat="1" x14ac:dyDescent="0.2">
      <c r="K466" s="573"/>
    </row>
    <row r="467" spans="11:11" s="507" customFormat="1" x14ac:dyDescent="0.2">
      <c r="K467" s="573"/>
    </row>
    <row r="468" spans="11:11" s="507" customFormat="1" x14ac:dyDescent="0.2">
      <c r="K468" s="573"/>
    </row>
    <row r="469" spans="11:11" s="507" customFormat="1" x14ac:dyDescent="0.2">
      <c r="K469" s="573"/>
    </row>
    <row r="470" spans="11:11" s="507" customFormat="1" x14ac:dyDescent="0.2">
      <c r="K470" s="573"/>
    </row>
    <row r="471" spans="11:11" s="507" customFormat="1" x14ac:dyDescent="0.2">
      <c r="K471" s="573"/>
    </row>
    <row r="472" spans="11:11" s="507" customFormat="1" x14ac:dyDescent="0.2">
      <c r="K472" s="573"/>
    </row>
    <row r="473" spans="11:11" s="507" customFormat="1" x14ac:dyDescent="0.2">
      <c r="K473" s="573"/>
    </row>
    <row r="474" spans="11:11" s="507" customFormat="1" x14ac:dyDescent="0.2">
      <c r="K474" s="573"/>
    </row>
    <row r="475" spans="11:11" s="507" customFormat="1" x14ac:dyDescent="0.2">
      <c r="K475" s="573"/>
    </row>
    <row r="476" spans="11:11" s="507" customFormat="1" x14ac:dyDescent="0.2">
      <c r="K476" s="573"/>
    </row>
    <row r="477" spans="11:11" s="507" customFormat="1" x14ac:dyDescent="0.2">
      <c r="K477" s="573"/>
    </row>
    <row r="478" spans="11:11" s="507" customFormat="1" x14ac:dyDescent="0.2">
      <c r="K478" s="573"/>
    </row>
    <row r="479" spans="11:11" s="507" customFormat="1" x14ac:dyDescent="0.2">
      <c r="K479" s="573"/>
    </row>
    <row r="480" spans="11:11" s="507" customFormat="1" x14ac:dyDescent="0.2">
      <c r="K480" s="573"/>
    </row>
    <row r="481" spans="11:11" s="507" customFormat="1" x14ac:dyDescent="0.2">
      <c r="K481" s="573"/>
    </row>
    <row r="482" spans="11:11" s="507" customFormat="1" x14ac:dyDescent="0.2">
      <c r="K482" s="573"/>
    </row>
    <row r="483" spans="11:11" s="507" customFormat="1" x14ac:dyDescent="0.2">
      <c r="K483" s="573"/>
    </row>
    <row r="484" spans="11:11" s="507" customFormat="1" x14ac:dyDescent="0.2">
      <c r="K484" s="573"/>
    </row>
    <row r="485" spans="11:11" s="507" customFormat="1" x14ac:dyDescent="0.2">
      <c r="K485" s="573"/>
    </row>
    <row r="486" spans="11:11" s="507" customFormat="1" x14ac:dyDescent="0.2">
      <c r="K486" s="573"/>
    </row>
    <row r="487" spans="11:11" s="507" customFormat="1" x14ac:dyDescent="0.2">
      <c r="K487" s="573"/>
    </row>
  </sheetData>
  <sheetProtection password="E421" sheet="1" objects="1" scenarios="1"/>
  <mergeCells count="136">
    <mergeCell ref="A212:L212"/>
    <mergeCell ref="A213:L214"/>
    <mergeCell ref="D132:E132"/>
    <mergeCell ref="D133:E133"/>
    <mergeCell ref="D134:E134"/>
    <mergeCell ref="A207:L208"/>
    <mergeCell ref="A209:L209"/>
    <mergeCell ref="A210:L211"/>
    <mergeCell ref="D126:E126"/>
    <mergeCell ref="D127:E127"/>
    <mergeCell ref="D128:E128"/>
    <mergeCell ref="D129:E129"/>
    <mergeCell ref="D130:E130"/>
    <mergeCell ref="D131:E131"/>
    <mergeCell ref="G118:M119"/>
    <mergeCell ref="D121:E121"/>
    <mergeCell ref="D122:E122"/>
    <mergeCell ref="D123:E123"/>
    <mergeCell ref="D124:E124"/>
    <mergeCell ref="D125:E125"/>
    <mergeCell ref="B91:C91"/>
    <mergeCell ref="D91:M91"/>
    <mergeCell ref="B92:C92"/>
    <mergeCell ref="D92:M92"/>
    <mergeCell ref="B93:C93"/>
    <mergeCell ref="D93:M93"/>
    <mergeCell ref="D87:M87"/>
    <mergeCell ref="B88:M88"/>
    <mergeCell ref="B89:C89"/>
    <mergeCell ref="D89:M89"/>
    <mergeCell ref="B90:C90"/>
    <mergeCell ref="D90:M90"/>
    <mergeCell ref="B83:M83"/>
    <mergeCell ref="B84:C84"/>
    <mergeCell ref="D84:M84"/>
    <mergeCell ref="B85:C85"/>
    <mergeCell ref="D85:M85"/>
    <mergeCell ref="B86:C86"/>
    <mergeCell ref="D86:M86"/>
    <mergeCell ref="N75:N93"/>
    <mergeCell ref="B76:C76"/>
    <mergeCell ref="D76:M76"/>
    <mergeCell ref="B77:C77"/>
    <mergeCell ref="D77:M77"/>
    <mergeCell ref="B78:M78"/>
    <mergeCell ref="B79:C79"/>
    <mergeCell ref="B67:C67"/>
    <mergeCell ref="D67:M67"/>
    <mergeCell ref="D68:F68"/>
    <mergeCell ref="G68:I68"/>
    <mergeCell ref="D69:F73"/>
    <mergeCell ref="G69:I73"/>
    <mergeCell ref="D79:M79"/>
    <mergeCell ref="B80:C80"/>
    <mergeCell ref="D80:M80"/>
    <mergeCell ref="B81:C81"/>
    <mergeCell ref="D81:M81"/>
    <mergeCell ref="B82:C82"/>
    <mergeCell ref="D82:M82"/>
    <mergeCell ref="B74:C74"/>
    <mergeCell ref="D74:M74"/>
    <mergeCell ref="B75:M75"/>
    <mergeCell ref="B87:C87"/>
    <mergeCell ref="D59:F63"/>
    <mergeCell ref="G59:I63"/>
    <mergeCell ref="B64:C64"/>
    <mergeCell ref="D64:M64"/>
    <mergeCell ref="B65:M65"/>
    <mergeCell ref="B66:C66"/>
    <mergeCell ref="D66:M66"/>
    <mergeCell ref="B55:M55"/>
    <mergeCell ref="B56:C56"/>
    <mergeCell ref="D56:M56"/>
    <mergeCell ref="B57:C57"/>
    <mergeCell ref="D57:M57"/>
    <mergeCell ref="D58:F58"/>
    <mergeCell ref="G58:I58"/>
    <mergeCell ref="D48:F48"/>
    <mergeCell ref="G48:I48"/>
    <mergeCell ref="D49:F53"/>
    <mergeCell ref="G49:I53"/>
    <mergeCell ref="B54:C54"/>
    <mergeCell ref="D54:M54"/>
    <mergeCell ref="B44:C44"/>
    <mergeCell ref="D44:M44"/>
    <mergeCell ref="B45:M45"/>
    <mergeCell ref="B46:C46"/>
    <mergeCell ref="D46:M46"/>
    <mergeCell ref="B47:C47"/>
    <mergeCell ref="D47:M47"/>
    <mergeCell ref="B37:C37"/>
    <mergeCell ref="D37:M37"/>
    <mergeCell ref="D38:F38"/>
    <mergeCell ref="G38:I38"/>
    <mergeCell ref="D39:F43"/>
    <mergeCell ref="G39:I43"/>
    <mergeCell ref="D29:F33"/>
    <mergeCell ref="G29:I33"/>
    <mergeCell ref="B34:C34"/>
    <mergeCell ref="D34:M34"/>
    <mergeCell ref="B35:M35"/>
    <mergeCell ref="B36:C36"/>
    <mergeCell ref="D36:M36"/>
    <mergeCell ref="B23:C23"/>
    <mergeCell ref="B24:C24"/>
    <mergeCell ref="B25:C25"/>
    <mergeCell ref="B27:M27"/>
    <mergeCell ref="D28:F28"/>
    <mergeCell ref="G28:I28"/>
    <mergeCell ref="N15:N22"/>
    <mergeCell ref="B17:C17"/>
    <mergeCell ref="B18:C18"/>
    <mergeCell ref="B19:C19"/>
    <mergeCell ref="B20:C20"/>
    <mergeCell ref="B21:C21"/>
    <mergeCell ref="B22:C22"/>
    <mergeCell ref="B14:M14"/>
    <mergeCell ref="B15:C16"/>
    <mergeCell ref="D15:E15"/>
    <mergeCell ref="F15:G15"/>
    <mergeCell ref="H15:I15"/>
    <mergeCell ref="J15:K15"/>
    <mergeCell ref="L15:M15"/>
    <mergeCell ref="C10:M10"/>
    <mergeCell ref="C11:M11"/>
    <mergeCell ref="N11:N12"/>
    <mergeCell ref="C12:M12"/>
    <mergeCell ref="D13:F13"/>
    <mergeCell ref="G13:I13"/>
    <mergeCell ref="J13:M13"/>
    <mergeCell ref="B1:E1"/>
    <mergeCell ref="F1:M1"/>
    <mergeCell ref="B3:M3"/>
    <mergeCell ref="B4:M4"/>
    <mergeCell ref="B8:M8"/>
    <mergeCell ref="C9:M9"/>
  </mergeCells>
  <conditionalFormatting sqref="F1:M1">
    <cfRule type="containsText" dxfId="249" priority="43" operator="containsText" text="0">
      <formula>NOT(ISERROR(SEARCH("0",F1)))</formula>
    </cfRule>
  </conditionalFormatting>
  <conditionalFormatting sqref="C9:M10">
    <cfRule type="cellIs" dxfId="248" priority="42" operator="lessThanOrEqual">
      <formula>0</formula>
    </cfRule>
  </conditionalFormatting>
  <conditionalFormatting sqref="D79:M80 D84:M85 D90:M91">
    <cfRule type="containsErrors" dxfId="247" priority="41">
      <formula>ISERROR(D79)</formula>
    </cfRule>
  </conditionalFormatting>
  <conditionalFormatting sqref="D79:M79">
    <cfRule type="cellIs" dxfId="246" priority="39" operator="equal">
      <formula>0</formula>
    </cfRule>
  </conditionalFormatting>
  <conditionalFormatting sqref="E77:M77 D76:D77">
    <cfRule type="cellIs" dxfId="245" priority="37" operator="lessThanOrEqual">
      <formula>0</formula>
    </cfRule>
  </conditionalFormatting>
  <conditionalFormatting sqref="D81:M81">
    <cfRule type="cellIs" dxfId="244" priority="36" operator="lessThanOrEqual">
      <formula>0</formula>
    </cfRule>
  </conditionalFormatting>
  <conditionalFormatting sqref="D86:M86">
    <cfRule type="cellIs" dxfId="243" priority="35" operator="lessThanOrEqual">
      <formula>0</formula>
    </cfRule>
  </conditionalFormatting>
  <conditionalFormatting sqref="D92:M92">
    <cfRule type="cellIs" dxfId="242" priority="34" operator="lessThanOrEqual">
      <formula>0</formula>
    </cfRule>
  </conditionalFormatting>
  <conditionalFormatting sqref="C11:M12 D13 J13">
    <cfRule type="containsErrors" dxfId="241" priority="33">
      <formula>ISERROR(C11)</formula>
    </cfRule>
  </conditionalFormatting>
  <conditionalFormatting sqref="C12:M12 D13 J13">
    <cfRule type="cellIs" dxfId="240" priority="32" stopIfTrue="1" operator="lessThanOrEqual">
      <formula>0</formula>
    </cfRule>
  </conditionalFormatting>
  <conditionalFormatting sqref="B143:C152">
    <cfRule type="containsErrors" dxfId="239" priority="17">
      <formula>ISERROR(B143)</formula>
    </cfRule>
  </conditionalFormatting>
  <conditionalFormatting sqref="B153:C156">
    <cfRule type="containsErrors" dxfId="238" priority="16">
      <formula>ISERROR(B153)</formula>
    </cfRule>
  </conditionalFormatting>
  <conditionalFormatting sqref="B157:C160">
    <cfRule type="containsErrors" dxfId="237" priority="15">
      <formula>ISERROR(B157)</formula>
    </cfRule>
  </conditionalFormatting>
  <conditionalFormatting sqref="B161:C164">
    <cfRule type="containsErrors" dxfId="236" priority="14">
      <formula>ISERROR(B161)</formula>
    </cfRule>
  </conditionalFormatting>
  <conditionalFormatting sqref="B165:C168">
    <cfRule type="containsErrors" dxfId="235" priority="13">
      <formula>ISERROR(B165)</formula>
    </cfRule>
  </conditionalFormatting>
  <conditionalFormatting sqref="D29:D34 E29:F33 D54">
    <cfRule type="containsErrors" dxfId="234" priority="12">
      <formula>ISERROR(D29)</formula>
    </cfRule>
  </conditionalFormatting>
  <conditionalFormatting sqref="N43 N33:N34 N53 N63 N73">
    <cfRule type="containsErrors" dxfId="233" priority="11">
      <formula>ISERROR(N33)</formula>
    </cfRule>
  </conditionalFormatting>
  <conditionalFormatting sqref="D74:M74 D64:M64 D54:M54 D44:M44 D34:M34">
    <cfRule type="cellIs" dxfId="232" priority="10" stopIfTrue="1" operator="lessThanOrEqual">
      <formula>0</formula>
    </cfRule>
  </conditionalFormatting>
  <conditionalFormatting sqref="D29:F33">
    <cfRule type="cellIs" dxfId="231" priority="9" operator="lessThanOrEqual">
      <formula>0</formula>
    </cfRule>
  </conditionalFormatting>
  <conditionalFormatting sqref="D39:F43">
    <cfRule type="containsErrors" dxfId="230" priority="8">
      <formula>ISERROR(D39)</formula>
    </cfRule>
  </conditionalFormatting>
  <conditionalFormatting sqref="D39:F43">
    <cfRule type="cellIs" dxfId="229" priority="7" operator="lessThanOrEqual">
      <formula>0</formula>
    </cfRule>
  </conditionalFormatting>
  <conditionalFormatting sqref="D49:F53">
    <cfRule type="containsErrors" dxfId="228" priority="6">
      <formula>ISERROR(D49)</formula>
    </cfRule>
  </conditionalFormatting>
  <conditionalFormatting sqref="D49:F53">
    <cfRule type="cellIs" dxfId="227" priority="5" operator="lessThanOrEqual">
      <formula>0</formula>
    </cfRule>
  </conditionalFormatting>
  <conditionalFormatting sqref="D59:F63">
    <cfRule type="containsErrors" dxfId="226" priority="4">
      <formula>ISERROR(D59)</formula>
    </cfRule>
  </conditionalFormatting>
  <conditionalFormatting sqref="D59:F63">
    <cfRule type="cellIs" dxfId="225" priority="3" operator="lessThanOrEqual">
      <formula>0</formula>
    </cfRule>
  </conditionalFormatting>
  <conditionalFormatting sqref="D69:F73">
    <cfRule type="containsErrors" dxfId="224" priority="2">
      <formula>ISERROR(D69)</formula>
    </cfRule>
  </conditionalFormatting>
  <conditionalFormatting sqref="D69:F73">
    <cfRule type="cellIs" dxfId="223" priority="1" operator="lessThanOrEqual">
      <formula>0</formula>
    </cfRule>
  </conditionalFormatting>
  <dataValidations count="2">
    <dataValidation type="list" allowBlank="1" showInputMessage="1" showErrorMessage="1" sqref="C13" xr:uid="{00000000-0002-0000-1100-000000000000}">
      <formula1>Cistern</formula1>
    </dataValidation>
    <dataValidation type="list" allowBlank="1" showInputMessage="1" showErrorMessage="1" sqref="C29:C33 C69:C73 C59:C63 C49:C53 C39:C43" xr:uid="{00000000-0002-0000-1100-000001000000}">
      <formula1>$B$122:$B$134</formula1>
    </dataValidation>
  </dataValidations>
  <hyperlinks>
    <hyperlink ref="A210:J211" location="'SITE SUMMARY'!A1" display="CONTINUE TO SITE SUMMARY" xr:uid="{00000000-0004-0000-1100-000000000000}"/>
    <hyperlink ref="A213:J214" location="'SITE SUMMARY'!A1" display="CONTINUE TO SITE SUMMARY" xr:uid="{00000000-0004-0000-1100-000001000000}"/>
    <hyperlink ref="A210:L211" location="'BMP SUMMARY'!A1" display="CONTINUE TO BMP SUMMARY" xr:uid="{00000000-0004-0000-1100-000002000000}"/>
    <hyperlink ref="A207:J208" location="'DA2'!A1" display="CLICK TO ADD ANOTHER DRAINAGE AREA" xr:uid="{00000000-0004-0000-1100-000003000000}"/>
    <hyperlink ref="A207:L208" location="DA2_BMPs!A1" display="CLICK TO ADD BMPS TO ANOTHER DRAINAGE AREA" xr:uid="{00000000-0004-0000-1100-000004000000}"/>
  </hyperlinks>
  <printOptions horizontalCentered="1"/>
  <pageMargins left="0.7" right="0.7" top="0.75" bottom="0.75" header="0.3" footer="0.3"/>
  <pageSetup scale="42" fitToHeight="2" orientation="portrait" r:id="rId1"/>
  <headerFooter>
    <oddFooter>&amp;A&amp;RPage &amp;P</oddFooter>
  </headerFooter>
  <rowBreaks count="1" manualBreakCount="1">
    <brk id="54" min="1" max="12" man="1"/>
  </rowBreaks>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030A0"/>
  </sheetPr>
  <dimension ref="A1:AA487"/>
  <sheetViews>
    <sheetView showRowColHeaders="0" zoomScale="70" zoomScaleNormal="70" zoomScalePageLayoutView="55" workbookViewId="0">
      <selection activeCell="C13" sqref="C13"/>
    </sheetView>
  </sheetViews>
  <sheetFormatPr defaultRowHeight="15" x14ac:dyDescent="0.2"/>
  <cols>
    <col min="1" max="1" width="3.77734375" style="507" customWidth="1"/>
    <col min="2" max="2" width="39" style="161" customWidth="1"/>
    <col min="3" max="3" width="42.5546875" style="161" bestFit="1" customWidth="1"/>
    <col min="4" max="10" width="9.77734375" style="161" customWidth="1"/>
    <col min="11" max="11" width="9.77734375" style="398" customWidth="1"/>
    <col min="12" max="13" width="9.77734375" style="161" customWidth="1"/>
    <col min="14" max="14" width="77" style="161" customWidth="1"/>
    <col min="15" max="25" width="8.88671875" style="507"/>
    <col min="26" max="16384" width="8.88671875" style="161"/>
  </cols>
  <sheetData>
    <row r="1" spans="1:25" ht="16.5" customHeight="1" thickBot="1" x14ac:dyDescent="0.3">
      <c r="B1" s="787" t="s">
        <v>31</v>
      </c>
      <c r="C1" s="787"/>
      <c r="D1" s="787"/>
      <c r="E1" s="931"/>
      <c r="F1" s="1107">
        <f>'SITE DATA'!F9</f>
        <v>0</v>
      </c>
      <c r="G1" s="1108"/>
      <c r="H1" s="1108"/>
      <c r="I1" s="1108"/>
      <c r="J1" s="1108"/>
      <c r="K1" s="1108"/>
      <c r="L1" s="1108"/>
      <c r="M1" s="1109"/>
      <c r="N1" s="507"/>
    </row>
    <row r="2" spans="1:25" ht="16.5" customHeight="1" x14ac:dyDescent="0.2">
      <c r="B2" s="575"/>
      <c r="C2" s="575"/>
      <c r="D2" s="575"/>
      <c r="E2" s="575"/>
      <c r="F2" s="575"/>
      <c r="G2" s="575"/>
      <c r="H2" s="575"/>
      <c r="I2" s="575"/>
      <c r="J2" s="575"/>
      <c r="K2" s="237"/>
      <c r="L2" s="575"/>
      <c r="M2" s="575"/>
      <c r="N2" s="507"/>
    </row>
    <row r="3" spans="1:25" ht="16.5" customHeight="1" x14ac:dyDescent="0.25">
      <c r="B3" s="797" t="s">
        <v>398</v>
      </c>
      <c r="C3" s="797"/>
      <c r="D3" s="797"/>
      <c r="E3" s="797"/>
      <c r="F3" s="797"/>
      <c r="G3" s="797"/>
      <c r="H3" s="797"/>
      <c r="I3" s="797"/>
      <c r="J3" s="797"/>
      <c r="K3" s="797"/>
      <c r="L3" s="797"/>
      <c r="M3" s="797"/>
      <c r="N3" s="507"/>
    </row>
    <row r="4" spans="1:25" ht="16.5" customHeight="1" x14ac:dyDescent="0.25">
      <c r="B4" s="797" t="s">
        <v>359</v>
      </c>
      <c r="C4" s="797"/>
      <c r="D4" s="797"/>
      <c r="E4" s="797"/>
      <c r="F4" s="797"/>
      <c r="G4" s="797"/>
      <c r="H4" s="797"/>
      <c r="I4" s="797"/>
      <c r="J4" s="797"/>
      <c r="K4" s="797"/>
      <c r="L4" s="797"/>
      <c r="M4" s="797"/>
      <c r="N4" s="507"/>
    </row>
    <row r="5" spans="1:25" ht="16.5" customHeight="1" x14ac:dyDescent="0.2">
      <c r="B5" s="507"/>
      <c r="C5" s="507"/>
      <c r="D5" s="507"/>
      <c r="E5" s="507"/>
      <c r="F5" s="507"/>
      <c r="G5" s="507"/>
      <c r="H5" s="507"/>
      <c r="I5" s="507"/>
      <c r="J5" s="507"/>
      <c r="K5" s="573"/>
      <c r="L5" s="507"/>
      <c r="M5" s="507"/>
      <c r="N5" s="507"/>
    </row>
    <row r="6" spans="1:25" ht="16.5" customHeight="1" x14ac:dyDescent="0.2">
      <c r="B6" s="507"/>
      <c r="C6" s="507"/>
      <c r="D6" s="366"/>
      <c r="E6" s="366"/>
      <c r="F6" s="366"/>
      <c r="G6" s="305"/>
      <c r="H6" s="305"/>
      <c r="I6" s="366"/>
      <c r="J6" s="366"/>
      <c r="K6" s="367"/>
      <c r="L6" s="507"/>
      <c r="M6" s="507"/>
    </row>
    <row r="7" spans="1:25" ht="16.5" customHeight="1" thickBot="1" x14ac:dyDescent="0.25">
      <c r="B7" s="507"/>
      <c r="C7" s="507"/>
      <c r="D7" s="305"/>
      <c r="E7" s="305"/>
      <c r="F7" s="305"/>
      <c r="G7" s="305"/>
      <c r="H7" s="305"/>
      <c r="I7" s="305"/>
      <c r="J7" s="305"/>
      <c r="K7" s="160"/>
      <c r="L7" s="507"/>
      <c r="M7" s="507"/>
      <c r="N7" s="507"/>
    </row>
    <row r="8" spans="1:25" s="306" customFormat="1" ht="24.95" customHeight="1" thickTop="1" thickBot="1" x14ac:dyDescent="0.25">
      <c r="A8" s="164"/>
      <c r="B8" s="1081" t="s">
        <v>274</v>
      </c>
      <c r="C8" s="1082"/>
      <c r="D8" s="1082"/>
      <c r="E8" s="1082"/>
      <c r="F8" s="1082"/>
      <c r="G8" s="1082"/>
      <c r="H8" s="1082"/>
      <c r="I8" s="1082"/>
      <c r="J8" s="1082"/>
      <c r="K8" s="1082"/>
      <c r="L8" s="1082"/>
      <c r="M8" s="1083"/>
      <c r="N8" s="238" t="s">
        <v>319</v>
      </c>
      <c r="O8" s="164"/>
      <c r="P8" s="164"/>
      <c r="Q8" s="164"/>
      <c r="R8" s="164"/>
      <c r="S8" s="164"/>
      <c r="T8" s="164"/>
      <c r="U8" s="164"/>
      <c r="V8" s="164"/>
      <c r="W8" s="164"/>
      <c r="X8" s="164"/>
      <c r="Y8" s="164"/>
    </row>
    <row r="9" spans="1:25" s="306" customFormat="1" ht="24.95" customHeight="1" thickTop="1" x14ac:dyDescent="0.2">
      <c r="A9" s="164"/>
      <c r="B9" s="241" t="s">
        <v>636</v>
      </c>
      <c r="C9" s="1087">
        <f>'DA5'!H10</f>
        <v>0</v>
      </c>
      <c r="D9" s="1087"/>
      <c r="E9" s="1087"/>
      <c r="F9" s="1087"/>
      <c r="G9" s="1087"/>
      <c r="H9" s="1087"/>
      <c r="I9" s="1087"/>
      <c r="J9" s="1087"/>
      <c r="K9" s="1087"/>
      <c r="L9" s="1087"/>
      <c r="M9" s="1088"/>
      <c r="N9" s="307"/>
      <c r="O9" s="164"/>
      <c r="P9" s="164"/>
      <c r="Q9" s="164"/>
      <c r="R9" s="164"/>
      <c r="S9" s="164"/>
      <c r="T9" s="164"/>
      <c r="U9" s="164"/>
      <c r="V9" s="164"/>
      <c r="W9" s="164"/>
      <c r="X9" s="164"/>
      <c r="Y9" s="164"/>
    </row>
    <row r="10" spans="1:25" s="306" customFormat="1" ht="24.95" customHeight="1" x14ac:dyDescent="0.2">
      <c r="A10" s="164"/>
      <c r="B10" s="241" t="s">
        <v>637</v>
      </c>
      <c r="C10" s="1087">
        <f>'DA5'!H9-'DA5'!H10</f>
        <v>0</v>
      </c>
      <c r="D10" s="1087"/>
      <c r="E10" s="1087"/>
      <c r="F10" s="1087"/>
      <c r="G10" s="1087"/>
      <c r="H10" s="1087"/>
      <c r="I10" s="1087"/>
      <c r="J10" s="1087"/>
      <c r="K10" s="1087"/>
      <c r="L10" s="1087"/>
      <c r="M10" s="1088"/>
      <c r="N10" s="308"/>
      <c r="O10" s="164"/>
      <c r="P10" s="164"/>
      <c r="Q10" s="164"/>
      <c r="R10" s="164"/>
      <c r="S10" s="164"/>
      <c r="T10" s="164"/>
      <c r="U10" s="164"/>
      <c r="V10" s="164"/>
      <c r="W10" s="164"/>
      <c r="X10" s="164"/>
      <c r="Y10" s="164"/>
    </row>
    <row r="11" spans="1:25" s="306" customFormat="1" ht="33" x14ac:dyDescent="0.2">
      <c r="A11" s="164"/>
      <c r="B11" s="286" t="s">
        <v>576</v>
      </c>
      <c r="C11" s="1032" t="e">
        <f>'SITE SUMMARY'!G40</f>
        <v>#VALUE!</v>
      </c>
      <c r="D11" s="1032"/>
      <c r="E11" s="1032"/>
      <c r="F11" s="1032"/>
      <c r="G11" s="1032"/>
      <c r="H11" s="1032"/>
      <c r="I11" s="1032"/>
      <c r="J11" s="1032"/>
      <c r="K11" s="1032"/>
      <c r="L11" s="1032"/>
      <c r="M11" s="1033"/>
      <c r="N11" s="1035" t="s">
        <v>578</v>
      </c>
      <c r="O11" s="164"/>
      <c r="P11" s="164"/>
      <c r="Q11" s="164"/>
      <c r="R11" s="164"/>
      <c r="S11" s="164"/>
      <c r="T11" s="164"/>
      <c r="U11" s="164"/>
      <c r="V11" s="164"/>
      <c r="W11" s="164"/>
      <c r="X11" s="164"/>
      <c r="Y11" s="164"/>
    </row>
    <row r="12" spans="1:25" s="306" customFormat="1" ht="34.5" customHeight="1" x14ac:dyDescent="0.2">
      <c r="A12" s="164"/>
      <c r="B12" s="286" t="s">
        <v>638</v>
      </c>
      <c r="C12" s="1032" t="e">
        <f>IF('SITE SUMMARY'!G35="High",('DA5'!$D$80),0)</f>
        <v>#DIV/0!</v>
      </c>
      <c r="D12" s="1032" t="str">
        <f>IF($G$36="High",('DA1'!$D$80),"NA")</f>
        <v>NA</v>
      </c>
      <c r="E12" s="1032" t="str">
        <f>IF($G$36="High",('DA1'!$D$80),"NA")</f>
        <v>NA</v>
      </c>
      <c r="F12" s="1032" t="str">
        <f>IF($G$36="High",('DA1'!$D$80),"NA")</f>
        <v>NA</v>
      </c>
      <c r="G12" s="1032" t="str">
        <f>IF($G$36="High",('DA1'!$D$80),"NA")</f>
        <v>NA</v>
      </c>
      <c r="H12" s="1032" t="str">
        <f>IF($G$36="High",('DA1'!$D$80),"NA")</f>
        <v>NA</v>
      </c>
      <c r="I12" s="1032" t="str">
        <f>IF($G$36="High",('DA1'!$D$80),"NA")</f>
        <v>NA</v>
      </c>
      <c r="J12" s="1032" t="str">
        <f>IF($G$36="High",('DA1'!$D$80),"NA")</f>
        <v>NA</v>
      </c>
      <c r="K12" s="1032" t="str">
        <f>IF($G$36="High",('DA1'!$D$80),"NA")</f>
        <v>NA</v>
      </c>
      <c r="L12" s="1032" t="str">
        <f>IF($G$36="High",('DA1'!$D$80),"NA")</f>
        <v>NA</v>
      </c>
      <c r="M12" s="1033" t="str">
        <f>IF($G$36="High",('DA1'!$D$80),"NA")</f>
        <v>NA</v>
      </c>
      <c r="N12" s="1035"/>
      <c r="O12" s="164"/>
      <c r="P12" s="164"/>
      <c r="Q12" s="164"/>
      <c r="R12" s="164"/>
      <c r="S12" s="164"/>
      <c r="T12" s="164"/>
      <c r="U12" s="164"/>
      <c r="V12" s="164"/>
      <c r="W12" s="164"/>
      <c r="X12" s="164"/>
      <c r="Y12" s="164"/>
    </row>
    <row r="13" spans="1:25" s="306" customFormat="1" ht="60" x14ac:dyDescent="0.2">
      <c r="A13" s="164"/>
      <c r="B13" s="286" t="s">
        <v>583</v>
      </c>
      <c r="C13" s="364"/>
      <c r="D13" s="1038" t="s">
        <v>565</v>
      </c>
      <c r="E13" s="1039"/>
      <c r="F13" s="1039"/>
      <c r="G13" s="1026"/>
      <c r="H13" s="1027"/>
      <c r="I13" s="1028"/>
      <c r="J13" s="1029" t="s">
        <v>574</v>
      </c>
      <c r="K13" s="1030"/>
      <c r="L13" s="1030"/>
      <c r="M13" s="1031"/>
      <c r="N13" s="608" t="s">
        <v>639</v>
      </c>
      <c r="O13" s="164"/>
      <c r="P13" s="164"/>
      <c r="Q13" s="164"/>
      <c r="R13" s="164"/>
      <c r="S13" s="164"/>
      <c r="T13" s="164"/>
      <c r="U13" s="164"/>
      <c r="V13" s="164"/>
      <c r="W13" s="164"/>
      <c r="X13" s="164"/>
      <c r="Y13" s="164"/>
    </row>
    <row r="14" spans="1:25" s="306" customFormat="1" ht="24.95" customHeight="1" x14ac:dyDescent="0.2">
      <c r="A14" s="164"/>
      <c r="B14" s="1084" t="s">
        <v>320</v>
      </c>
      <c r="C14" s="1085"/>
      <c r="D14" s="1085"/>
      <c r="E14" s="1085"/>
      <c r="F14" s="1085"/>
      <c r="G14" s="1085"/>
      <c r="H14" s="1085"/>
      <c r="I14" s="1085"/>
      <c r="J14" s="1085"/>
      <c r="K14" s="1085"/>
      <c r="L14" s="1085"/>
      <c r="M14" s="1086"/>
      <c r="N14" s="368"/>
      <c r="O14" s="369"/>
      <c r="P14" s="369"/>
      <c r="Q14" s="369"/>
      <c r="R14" s="369"/>
      <c r="S14" s="369"/>
      <c r="T14" s="369"/>
      <c r="U14" s="164"/>
      <c r="V14" s="164"/>
      <c r="W14" s="164"/>
      <c r="X14" s="164"/>
      <c r="Y14" s="164"/>
    </row>
    <row r="15" spans="1:25" s="327" customFormat="1" ht="35.1" customHeight="1" x14ac:dyDescent="0.2">
      <c r="A15" s="326"/>
      <c r="B15" s="1089" t="s">
        <v>273</v>
      </c>
      <c r="C15" s="1090"/>
      <c r="D15" s="1093" t="s">
        <v>640</v>
      </c>
      <c r="E15" s="1093"/>
      <c r="F15" s="1093" t="s">
        <v>641</v>
      </c>
      <c r="G15" s="1093"/>
      <c r="H15" s="1093" t="s">
        <v>642</v>
      </c>
      <c r="I15" s="1093"/>
      <c r="J15" s="1093" t="s">
        <v>643</v>
      </c>
      <c r="K15" s="1093"/>
      <c r="L15" s="1093" t="s">
        <v>644</v>
      </c>
      <c r="M15" s="1115"/>
      <c r="N15" s="1119" t="s">
        <v>741</v>
      </c>
      <c r="O15" s="326"/>
      <c r="P15" s="326"/>
      <c r="Q15" s="326"/>
      <c r="R15" s="326"/>
      <c r="S15" s="326"/>
      <c r="T15" s="326"/>
      <c r="U15" s="326"/>
      <c r="V15" s="326"/>
      <c r="W15" s="326"/>
      <c r="X15" s="326"/>
      <c r="Y15" s="326"/>
    </row>
    <row r="16" spans="1:25" s="327" customFormat="1" x14ac:dyDescent="0.2">
      <c r="A16" s="326"/>
      <c r="B16" s="1089"/>
      <c r="C16" s="1090"/>
      <c r="D16" s="131" t="s">
        <v>281</v>
      </c>
      <c r="E16" s="131" t="s">
        <v>282</v>
      </c>
      <c r="F16" s="131" t="s">
        <v>281</v>
      </c>
      <c r="G16" s="131" t="s">
        <v>282</v>
      </c>
      <c r="H16" s="131" t="s">
        <v>281</v>
      </c>
      <c r="I16" s="131" t="s">
        <v>282</v>
      </c>
      <c r="J16" s="131" t="s">
        <v>281</v>
      </c>
      <c r="K16" s="131" t="s">
        <v>282</v>
      </c>
      <c r="L16" s="131" t="s">
        <v>281</v>
      </c>
      <c r="M16" s="240" t="s">
        <v>282</v>
      </c>
      <c r="N16" s="1119"/>
      <c r="O16" s="326"/>
      <c r="P16" s="326"/>
      <c r="Q16" s="326"/>
      <c r="R16" s="326"/>
      <c r="S16" s="326"/>
      <c r="T16" s="326"/>
      <c r="U16" s="326"/>
      <c r="V16" s="326"/>
      <c r="W16" s="326"/>
      <c r="X16" s="326"/>
      <c r="Y16" s="326"/>
    </row>
    <row r="17" spans="1:25" s="327" customFormat="1" ht="24.95" customHeight="1" x14ac:dyDescent="0.2">
      <c r="A17" s="326"/>
      <c r="B17" s="1091" t="s">
        <v>12</v>
      </c>
      <c r="C17" s="1092"/>
      <c r="D17" s="364"/>
      <c r="E17" s="364"/>
      <c r="F17" s="364"/>
      <c r="G17" s="364"/>
      <c r="H17" s="364"/>
      <c r="I17" s="364"/>
      <c r="J17" s="364"/>
      <c r="K17" s="364"/>
      <c r="L17" s="364"/>
      <c r="M17" s="365"/>
      <c r="N17" s="1119"/>
      <c r="O17" s="326"/>
      <c r="P17" s="326"/>
      <c r="Q17" s="326"/>
      <c r="R17" s="326"/>
      <c r="S17" s="326"/>
      <c r="T17" s="326"/>
      <c r="U17" s="326"/>
      <c r="V17" s="326"/>
      <c r="W17" s="326"/>
      <c r="X17" s="326"/>
      <c r="Y17" s="326"/>
    </row>
    <row r="18" spans="1:25" s="327" customFormat="1" ht="24.95" customHeight="1" x14ac:dyDescent="0.2">
      <c r="A18" s="326"/>
      <c r="B18" s="1091" t="s">
        <v>253</v>
      </c>
      <c r="C18" s="1092"/>
      <c r="D18" s="364"/>
      <c r="E18" s="364"/>
      <c r="F18" s="364"/>
      <c r="G18" s="364"/>
      <c r="H18" s="364"/>
      <c r="I18" s="364"/>
      <c r="J18" s="364"/>
      <c r="K18" s="364"/>
      <c r="L18" s="364"/>
      <c r="M18" s="365"/>
      <c r="N18" s="1119"/>
      <c r="O18" s="326"/>
      <c r="P18" s="326"/>
      <c r="Q18" s="326"/>
      <c r="R18" s="326"/>
      <c r="S18" s="326"/>
      <c r="T18" s="326"/>
      <c r="U18" s="326"/>
      <c r="V18" s="326"/>
      <c r="W18" s="326"/>
      <c r="X18" s="326"/>
      <c r="Y18" s="326"/>
    </row>
    <row r="19" spans="1:25" s="327" customFormat="1" ht="24.95" customHeight="1" x14ac:dyDescent="0.2">
      <c r="A19" s="326"/>
      <c r="B19" s="1091" t="s">
        <v>260</v>
      </c>
      <c r="C19" s="1092"/>
      <c r="D19" s="364"/>
      <c r="E19" s="364"/>
      <c r="F19" s="364"/>
      <c r="G19" s="364"/>
      <c r="H19" s="364"/>
      <c r="I19" s="364"/>
      <c r="J19" s="364"/>
      <c r="K19" s="364"/>
      <c r="L19" s="364"/>
      <c r="M19" s="365"/>
      <c r="N19" s="1119"/>
      <c r="O19" s="326"/>
      <c r="P19" s="326"/>
      <c r="Q19" s="326"/>
      <c r="R19" s="326"/>
      <c r="S19" s="326"/>
      <c r="T19" s="326"/>
      <c r="U19" s="326"/>
      <c r="V19" s="326"/>
      <c r="W19" s="326"/>
      <c r="X19" s="326"/>
      <c r="Y19" s="326"/>
    </row>
    <row r="20" spans="1:25" s="327" customFormat="1" ht="24.95" customHeight="1" x14ac:dyDescent="0.2">
      <c r="A20" s="326"/>
      <c r="B20" s="1091" t="s">
        <v>254</v>
      </c>
      <c r="C20" s="1092"/>
      <c r="D20" s="364"/>
      <c r="E20" s="364"/>
      <c r="F20" s="364"/>
      <c r="G20" s="364"/>
      <c r="H20" s="364"/>
      <c r="I20" s="364"/>
      <c r="J20" s="364"/>
      <c r="K20" s="364"/>
      <c r="L20" s="364"/>
      <c r="M20" s="365"/>
      <c r="N20" s="1119"/>
      <c r="O20" s="326"/>
      <c r="P20" s="326"/>
      <c r="Q20" s="326"/>
      <c r="R20" s="326"/>
      <c r="S20" s="326"/>
      <c r="T20" s="326"/>
      <c r="U20" s="326"/>
      <c r="V20" s="326"/>
      <c r="W20" s="326"/>
      <c r="X20" s="326"/>
      <c r="Y20" s="326"/>
    </row>
    <row r="21" spans="1:25" s="327" customFormat="1" ht="24.95" customHeight="1" x14ac:dyDescent="0.2">
      <c r="A21" s="326"/>
      <c r="B21" s="1091" t="s">
        <v>255</v>
      </c>
      <c r="C21" s="1092"/>
      <c r="D21" s="364"/>
      <c r="E21" s="364"/>
      <c r="F21" s="364"/>
      <c r="G21" s="364"/>
      <c r="H21" s="364"/>
      <c r="I21" s="364"/>
      <c r="J21" s="364"/>
      <c r="K21" s="364"/>
      <c r="L21" s="364"/>
      <c r="M21" s="365"/>
      <c r="N21" s="1119"/>
      <c r="O21" s="326"/>
      <c r="P21" s="326"/>
      <c r="Q21" s="326"/>
      <c r="R21" s="326"/>
      <c r="S21" s="326"/>
      <c r="T21" s="326"/>
      <c r="U21" s="326"/>
      <c r="V21" s="326"/>
      <c r="W21" s="326"/>
      <c r="X21" s="326"/>
      <c r="Y21" s="326"/>
    </row>
    <row r="22" spans="1:25" ht="24.95" customHeight="1" x14ac:dyDescent="0.2">
      <c r="B22" s="1091" t="s">
        <v>256</v>
      </c>
      <c r="C22" s="1092"/>
      <c r="D22" s="364"/>
      <c r="E22" s="364"/>
      <c r="F22" s="364"/>
      <c r="G22" s="364"/>
      <c r="H22" s="364"/>
      <c r="I22" s="364"/>
      <c r="J22" s="364"/>
      <c r="K22" s="364"/>
      <c r="L22" s="364"/>
      <c r="M22" s="365"/>
      <c r="N22" s="1119"/>
    </row>
    <row r="23" spans="1:25" ht="24.95" customHeight="1" x14ac:dyDescent="0.2">
      <c r="B23" s="1091" t="s">
        <v>257</v>
      </c>
      <c r="C23" s="1092"/>
      <c r="D23" s="364"/>
      <c r="E23" s="364"/>
      <c r="F23" s="364"/>
      <c r="G23" s="364"/>
      <c r="H23" s="364"/>
      <c r="I23" s="364"/>
      <c r="J23" s="364"/>
      <c r="K23" s="364"/>
      <c r="L23" s="364"/>
      <c r="M23" s="365"/>
      <c r="N23" s="370"/>
    </row>
    <row r="24" spans="1:25" ht="24.95" customHeight="1" x14ac:dyDescent="0.2">
      <c r="B24" s="1091" t="s">
        <v>245</v>
      </c>
      <c r="C24" s="1092"/>
      <c r="D24" s="364"/>
      <c r="E24" s="364"/>
      <c r="F24" s="364"/>
      <c r="G24" s="364"/>
      <c r="H24" s="364"/>
      <c r="I24" s="364"/>
      <c r="J24" s="364"/>
      <c r="K24" s="364"/>
      <c r="L24" s="364"/>
      <c r="M24" s="365"/>
      <c r="N24" s="370"/>
    </row>
    <row r="25" spans="1:25" ht="24.95" customHeight="1" x14ac:dyDescent="0.2">
      <c r="B25" s="1091" t="s">
        <v>44</v>
      </c>
      <c r="C25" s="1092"/>
      <c r="D25" s="364"/>
      <c r="E25" s="364"/>
      <c r="F25" s="364"/>
      <c r="G25" s="364"/>
      <c r="H25" s="364"/>
      <c r="I25" s="364"/>
      <c r="J25" s="364"/>
      <c r="K25" s="364"/>
      <c r="L25" s="364"/>
      <c r="M25" s="365"/>
      <c r="N25" s="446" t="str">
        <f>IF(SUM( D17:D25,F17:F25,H17:H25,J17:J25,L17:L25)=C9,"","DOES NOT MATCH SITE ACREAGES")</f>
        <v/>
      </c>
    </row>
    <row r="26" spans="1:25" s="373" customFormat="1" ht="15.75" hidden="1" x14ac:dyDescent="0.25">
      <c r="A26" s="574"/>
      <c r="B26" s="371" t="s">
        <v>291</v>
      </c>
      <c r="C26" s="372"/>
      <c r="D26" s="315">
        <f>SUM(D17:D25)</f>
        <v>0</v>
      </c>
      <c r="E26" s="315">
        <f t="shared" ref="E26:M26" si="0">SUM(E17:E25)</f>
        <v>0</v>
      </c>
      <c r="F26" s="315">
        <f t="shared" si="0"/>
        <v>0</v>
      </c>
      <c r="G26" s="315">
        <f t="shared" si="0"/>
        <v>0</v>
      </c>
      <c r="H26" s="315">
        <f t="shared" si="0"/>
        <v>0</v>
      </c>
      <c r="I26" s="315">
        <f t="shared" si="0"/>
        <v>0</v>
      </c>
      <c r="J26" s="315">
        <f t="shared" si="0"/>
        <v>0</v>
      </c>
      <c r="K26" s="315">
        <f t="shared" si="0"/>
        <v>0</v>
      </c>
      <c r="L26" s="315">
        <f t="shared" si="0"/>
        <v>0</v>
      </c>
      <c r="M26" s="316">
        <f t="shared" si="0"/>
        <v>0</v>
      </c>
      <c r="N26" s="330"/>
      <c r="O26" s="574"/>
      <c r="P26" s="574"/>
      <c r="Q26" s="574"/>
      <c r="R26" s="574"/>
      <c r="S26" s="574"/>
      <c r="T26" s="574"/>
      <c r="U26" s="574"/>
      <c r="V26" s="574"/>
      <c r="W26" s="574"/>
      <c r="X26" s="574"/>
      <c r="Y26" s="574"/>
    </row>
    <row r="27" spans="1:25" s="306" customFormat="1" ht="15.75" x14ac:dyDescent="0.2">
      <c r="A27" s="164"/>
      <c r="B27" s="953" t="s">
        <v>286</v>
      </c>
      <c r="C27" s="954"/>
      <c r="D27" s="954"/>
      <c r="E27" s="954"/>
      <c r="F27" s="954"/>
      <c r="G27" s="954"/>
      <c r="H27" s="954"/>
      <c r="I27" s="954"/>
      <c r="J27" s="954"/>
      <c r="K27" s="954"/>
      <c r="L27" s="954"/>
      <c r="M27" s="955"/>
      <c r="N27" s="324"/>
      <c r="O27" s="164"/>
      <c r="P27" s="164"/>
      <c r="Q27" s="164"/>
      <c r="R27" s="164"/>
      <c r="S27" s="164"/>
      <c r="T27" s="164"/>
      <c r="U27" s="164"/>
      <c r="V27" s="164"/>
      <c r="W27" s="164"/>
      <c r="X27" s="164"/>
      <c r="Y27" s="164"/>
    </row>
    <row r="28" spans="1:25" s="507" customFormat="1" ht="79.5" customHeight="1" x14ac:dyDescent="0.2">
      <c r="B28" s="374" t="s">
        <v>318</v>
      </c>
      <c r="C28" s="375" t="s">
        <v>284</v>
      </c>
      <c r="D28" s="1034" t="s">
        <v>568</v>
      </c>
      <c r="E28" s="1034"/>
      <c r="F28" s="1034"/>
      <c r="G28" s="1040" t="s">
        <v>567</v>
      </c>
      <c r="H28" s="1041"/>
      <c r="I28" s="1042"/>
      <c r="J28" s="631" t="s">
        <v>269</v>
      </c>
      <c r="K28" s="631" t="s">
        <v>491</v>
      </c>
      <c r="L28" s="631" t="s">
        <v>492</v>
      </c>
      <c r="M28" s="376" t="s">
        <v>322</v>
      </c>
      <c r="N28" s="377" t="s">
        <v>321</v>
      </c>
    </row>
    <row r="29" spans="1:25" ht="24.95" customHeight="1" x14ac:dyDescent="0.2">
      <c r="B29" s="562"/>
      <c r="C29" s="400"/>
      <c r="D29" s="1043" t="e">
        <f>IF('SITE SUMMARY'!$G$35="High",E151,"-")</f>
        <v>#DIV/0!</v>
      </c>
      <c r="E29" s="1044"/>
      <c r="F29" s="1045"/>
      <c r="G29" s="1120"/>
      <c r="H29" s="1121"/>
      <c r="I29" s="1122"/>
      <c r="J29" s="378">
        <f>IF(ISERROR(VLOOKUP(C29,BMP,2,FALSE)),0,VLOOKUP(C29,BMP,2,FALSE))</f>
        <v>0</v>
      </c>
      <c r="K29" s="625">
        <f>IF(ISERROR($E$114),0,$E$114)</f>
        <v>0</v>
      </c>
      <c r="L29" s="625">
        <f>IF(ISERROR(K29*J29),0,K29*J29)</f>
        <v>0</v>
      </c>
      <c r="M29" s="401"/>
      <c r="N29" s="377"/>
      <c r="O29" s="379"/>
      <c r="P29" s="379"/>
      <c r="Q29" s="379"/>
      <c r="R29" s="379"/>
      <c r="S29" s="379"/>
      <c r="T29" s="379"/>
    </row>
    <row r="30" spans="1:25" ht="24.95" customHeight="1" x14ac:dyDescent="0.2">
      <c r="B30" s="563"/>
      <c r="C30" s="400"/>
      <c r="D30" s="1046"/>
      <c r="E30" s="1047"/>
      <c r="F30" s="1048"/>
      <c r="G30" s="1123"/>
      <c r="H30" s="1124"/>
      <c r="I30" s="1125"/>
      <c r="J30" s="378">
        <f>IF(ISERROR(VLOOKUP(C30,BMP,2,FALSE)),0,VLOOKUP(C30,BMP,2,FALSE))</f>
        <v>0</v>
      </c>
      <c r="K30" s="625">
        <f>IF(ISERROR(K29-L29),0,K29-L29)</f>
        <v>0</v>
      </c>
      <c r="L30" s="625">
        <f>IF(ISERROR(K30*J30),0,K30*J30)</f>
        <v>0</v>
      </c>
      <c r="M30" s="401"/>
      <c r="N30" s="380"/>
    </row>
    <row r="31" spans="1:25" ht="24.95" customHeight="1" x14ac:dyDescent="0.2">
      <c r="B31" s="563"/>
      <c r="C31" s="400"/>
      <c r="D31" s="1046"/>
      <c r="E31" s="1047"/>
      <c r="F31" s="1048"/>
      <c r="G31" s="1123"/>
      <c r="H31" s="1124"/>
      <c r="I31" s="1125"/>
      <c r="J31" s="378">
        <f>IF(ISERROR(VLOOKUP(C31,BMP,2,FALSE)),0,VLOOKUP(C31,BMP,2,FALSE))</f>
        <v>0</v>
      </c>
      <c r="K31" s="625">
        <f>IF(ISERROR(K30-L30),0,K30-L30)</f>
        <v>0</v>
      </c>
      <c r="L31" s="625">
        <f>IF(ISERROR(K31*J31),0,K31*J31)</f>
        <v>0</v>
      </c>
      <c r="M31" s="401"/>
      <c r="N31" s="380"/>
    </row>
    <row r="32" spans="1:25" ht="24.95" customHeight="1" x14ac:dyDescent="0.2">
      <c r="B32" s="563"/>
      <c r="C32" s="400"/>
      <c r="D32" s="1046"/>
      <c r="E32" s="1047"/>
      <c r="F32" s="1048"/>
      <c r="G32" s="1123"/>
      <c r="H32" s="1124"/>
      <c r="I32" s="1125"/>
      <c r="J32" s="378">
        <f>IF(ISERROR(VLOOKUP(C32,BMP,2,FALSE)),0,VLOOKUP(C32,BMP,2,FALSE))</f>
        <v>0</v>
      </c>
      <c r="K32" s="625">
        <f>IF(ISERROR(K31-L31),0,K31-L31)</f>
        <v>0</v>
      </c>
      <c r="L32" s="625">
        <f>IF(ISERROR(K32*J32),0,K32*J32)</f>
        <v>0</v>
      </c>
      <c r="M32" s="401"/>
      <c r="N32" s="380"/>
    </row>
    <row r="33" spans="1:25" ht="24.95" customHeight="1" x14ac:dyDescent="0.2">
      <c r="B33" s="563"/>
      <c r="C33" s="400"/>
      <c r="D33" s="1049"/>
      <c r="E33" s="1050"/>
      <c r="F33" s="1051"/>
      <c r="G33" s="1126"/>
      <c r="H33" s="1127"/>
      <c r="I33" s="1128"/>
      <c r="J33" s="378">
        <f>IF(ISERROR(VLOOKUP(C33,BMP,2,FALSE)),0,VLOOKUP(C33,BMP,2,FALSE))</f>
        <v>0</v>
      </c>
      <c r="K33" s="625">
        <f>IF(ISERROR(K32-L32),0,K32-L32)</f>
        <v>0</v>
      </c>
      <c r="L33" s="625">
        <f>IF(ISERROR(K33*J33),0,K33*J33)</f>
        <v>0</v>
      </c>
      <c r="M33" s="401"/>
      <c r="N33" s="381"/>
    </row>
    <row r="34" spans="1:25" ht="24.95" customHeight="1" x14ac:dyDescent="0.2">
      <c r="B34" s="1052" t="s">
        <v>371</v>
      </c>
      <c r="C34" s="1053"/>
      <c r="D34" s="1054">
        <f>IF(J33&gt;0,K306-L33,IF(J32&gt;0,K32-L32,IF(J31&gt;0,K31-L31,IF(J30&gt;0,K30-L30,K29-L29))))</f>
        <v>0</v>
      </c>
      <c r="E34" s="1055"/>
      <c r="F34" s="1055"/>
      <c r="G34" s="1055"/>
      <c r="H34" s="1055"/>
      <c r="I34" s="1055"/>
      <c r="J34" s="1055"/>
      <c r="K34" s="1055"/>
      <c r="L34" s="1055"/>
      <c r="M34" s="1056"/>
      <c r="N34" s="382"/>
    </row>
    <row r="35" spans="1:25" s="306" customFormat="1" ht="24.95" customHeight="1" x14ac:dyDescent="0.2">
      <c r="A35" s="164"/>
      <c r="B35" s="953" t="s">
        <v>285</v>
      </c>
      <c r="C35" s="954"/>
      <c r="D35" s="954"/>
      <c r="E35" s="954"/>
      <c r="F35" s="954"/>
      <c r="G35" s="954"/>
      <c r="H35" s="954"/>
      <c r="I35" s="954"/>
      <c r="J35" s="954"/>
      <c r="K35" s="954"/>
      <c r="L35" s="954"/>
      <c r="M35" s="955"/>
      <c r="N35" s="382"/>
      <c r="O35" s="164"/>
      <c r="P35" s="164"/>
      <c r="Q35" s="164"/>
      <c r="R35" s="164"/>
      <c r="S35" s="164"/>
      <c r="T35" s="164"/>
      <c r="U35" s="164"/>
      <c r="V35" s="164"/>
      <c r="W35" s="164"/>
      <c r="X35" s="164"/>
      <c r="Y35" s="164"/>
    </row>
    <row r="36" spans="1:25" s="507" customFormat="1" ht="39.75" customHeight="1" x14ac:dyDescent="0.2">
      <c r="B36" s="1019" t="s">
        <v>584</v>
      </c>
      <c r="C36" s="1020"/>
      <c r="D36" s="1057"/>
      <c r="E36" s="1058"/>
      <c r="F36" s="1058"/>
      <c r="G36" s="1058"/>
      <c r="H36" s="1058"/>
      <c r="I36" s="1058"/>
      <c r="J36" s="1058"/>
      <c r="K36" s="1058"/>
      <c r="L36" s="1058"/>
      <c r="M36" s="1059"/>
      <c r="N36" s="382"/>
    </row>
    <row r="37" spans="1:25" s="507" customFormat="1" ht="39.75" hidden="1" customHeight="1" x14ac:dyDescent="0.2">
      <c r="B37" s="1019" t="s">
        <v>585</v>
      </c>
      <c r="C37" s="1020"/>
      <c r="D37" s="1129"/>
      <c r="E37" s="1130"/>
      <c r="F37" s="1130"/>
      <c r="G37" s="1130"/>
      <c r="H37" s="1130"/>
      <c r="I37" s="1130"/>
      <c r="J37" s="1130"/>
      <c r="K37" s="1130"/>
      <c r="L37" s="1130"/>
      <c r="M37" s="1131"/>
      <c r="N37" s="382"/>
    </row>
    <row r="38" spans="1:25" s="507" customFormat="1" ht="79.5" customHeight="1" x14ac:dyDescent="0.2">
      <c r="B38" s="374" t="s">
        <v>318</v>
      </c>
      <c r="C38" s="375" t="s">
        <v>284</v>
      </c>
      <c r="D38" s="1034" t="s">
        <v>568</v>
      </c>
      <c r="E38" s="1034"/>
      <c r="F38" s="1034"/>
      <c r="G38" s="1034" t="s">
        <v>490</v>
      </c>
      <c r="H38" s="1034"/>
      <c r="I38" s="1034"/>
      <c r="J38" s="631" t="s">
        <v>269</v>
      </c>
      <c r="K38" s="631" t="s">
        <v>491</v>
      </c>
      <c r="L38" s="631" t="s">
        <v>492</v>
      </c>
      <c r="M38" s="376" t="s">
        <v>322</v>
      </c>
      <c r="N38" s="382"/>
    </row>
    <row r="39" spans="1:25" ht="24.95" customHeight="1" x14ac:dyDescent="0.2">
      <c r="B39" s="399"/>
      <c r="C39" s="400"/>
      <c r="D39" s="1043" t="e">
        <f>IF('SITE SUMMARY'!$G$35="High",E155,"-")</f>
        <v>#DIV/0!</v>
      </c>
      <c r="E39" s="1044"/>
      <c r="F39" s="1045"/>
      <c r="G39" s="1060"/>
      <c r="H39" s="1061"/>
      <c r="I39" s="1062"/>
      <c r="J39" s="378">
        <f>IF(ISERROR(VLOOKUP(C39,BMP,2,FALSE)),0,VLOOKUP(C39,BMP,2,FALSE))</f>
        <v>0</v>
      </c>
      <c r="K39" s="625">
        <f>IF(ISERROR($F$114),D36,$F$114+D36)</f>
        <v>0</v>
      </c>
      <c r="L39" s="625">
        <f>IF(ISERROR(K39*J39),0,K39*J39)</f>
        <v>0</v>
      </c>
      <c r="M39" s="401"/>
      <c r="N39" s="382"/>
      <c r="O39" s="379"/>
      <c r="P39" s="379"/>
      <c r="Q39" s="379"/>
      <c r="R39" s="379"/>
      <c r="S39" s="379"/>
      <c r="T39" s="379"/>
    </row>
    <row r="40" spans="1:25" ht="24.95" customHeight="1" x14ac:dyDescent="0.2">
      <c r="B40" s="399"/>
      <c r="C40" s="400"/>
      <c r="D40" s="1046"/>
      <c r="E40" s="1047"/>
      <c r="F40" s="1048"/>
      <c r="G40" s="1063"/>
      <c r="H40" s="1064"/>
      <c r="I40" s="1065"/>
      <c r="J40" s="378">
        <f>IF(ISERROR(VLOOKUP(C40,BMP,2,FALSE)),0,VLOOKUP(C40,BMP,2,FALSE))</f>
        <v>0</v>
      </c>
      <c r="K40" s="625">
        <f>IF(ISERROR(K39-L39),0,K39-L39)</f>
        <v>0</v>
      </c>
      <c r="L40" s="625">
        <f>IF(ISERROR(K40*J40),0,K40*J40)</f>
        <v>0</v>
      </c>
      <c r="M40" s="401"/>
      <c r="N40" s="382"/>
    </row>
    <row r="41" spans="1:25" ht="24.75" customHeight="1" x14ac:dyDescent="0.2">
      <c r="B41" s="399"/>
      <c r="C41" s="400"/>
      <c r="D41" s="1046"/>
      <c r="E41" s="1047"/>
      <c r="F41" s="1048"/>
      <c r="G41" s="1063"/>
      <c r="H41" s="1064"/>
      <c r="I41" s="1065"/>
      <c r="J41" s="378">
        <f>IF(ISERROR(VLOOKUP(C41,BMP,2,FALSE)),0,VLOOKUP(C41,BMP,2,FALSE))</f>
        <v>0</v>
      </c>
      <c r="K41" s="625">
        <f>IF(ISERROR(K40-L40),0,K40-L40)</f>
        <v>0</v>
      </c>
      <c r="L41" s="625">
        <f>IF(ISERROR(K41*J41),0,K41*J41)</f>
        <v>0</v>
      </c>
      <c r="M41" s="401"/>
      <c r="N41" s="382"/>
    </row>
    <row r="42" spans="1:25" ht="24.95" customHeight="1" x14ac:dyDescent="0.2">
      <c r="B42" s="399"/>
      <c r="C42" s="400"/>
      <c r="D42" s="1046"/>
      <c r="E42" s="1047"/>
      <c r="F42" s="1048"/>
      <c r="G42" s="1063"/>
      <c r="H42" s="1064"/>
      <c r="I42" s="1065"/>
      <c r="J42" s="378">
        <f>IF(ISERROR(VLOOKUP(C42,BMP,2,FALSE)),0,VLOOKUP(C42,BMP,2,FALSE))</f>
        <v>0</v>
      </c>
      <c r="K42" s="625">
        <f>IF(ISERROR(K41-L41),0,K41-L41)</f>
        <v>0</v>
      </c>
      <c r="L42" s="625">
        <f>IF(ISERROR(K42*J42),0,K42*J42)</f>
        <v>0</v>
      </c>
      <c r="M42" s="401"/>
      <c r="N42" s="382"/>
    </row>
    <row r="43" spans="1:25" ht="24.95" customHeight="1" x14ac:dyDescent="0.2">
      <c r="B43" s="399"/>
      <c r="C43" s="400"/>
      <c r="D43" s="1049"/>
      <c r="E43" s="1050"/>
      <c r="F43" s="1051"/>
      <c r="G43" s="1066"/>
      <c r="H43" s="1067"/>
      <c r="I43" s="1068"/>
      <c r="J43" s="378">
        <f>IF(ISERROR(VLOOKUP(C43,BMP,2,FALSE)),0,VLOOKUP(C43,BMP,2,FALSE))</f>
        <v>0</v>
      </c>
      <c r="K43" s="625">
        <f>IF(ISERROR(K42-L42),0,K42-L42)</f>
        <v>0</v>
      </c>
      <c r="L43" s="625">
        <f>IF(ISERROR(K43*J43),0,K43*J43)</f>
        <v>0</v>
      </c>
      <c r="M43" s="401"/>
      <c r="N43" s="381"/>
    </row>
    <row r="44" spans="1:25" ht="24.95" customHeight="1" x14ac:dyDescent="0.2">
      <c r="B44" s="1052" t="s">
        <v>371</v>
      </c>
      <c r="C44" s="1053"/>
      <c r="D44" s="1054">
        <f>IF(J43&gt;0,K43-L43,IF(J42&gt;0,K42-L42,IF(J41&gt;0,K41-L41,IF(J40&gt;0,K40-L40,K39-L39))))</f>
        <v>0</v>
      </c>
      <c r="E44" s="1055"/>
      <c r="F44" s="1055"/>
      <c r="G44" s="1055"/>
      <c r="H44" s="1055"/>
      <c r="I44" s="1055"/>
      <c r="J44" s="1055"/>
      <c r="K44" s="1055"/>
      <c r="L44" s="1055"/>
      <c r="M44" s="1056"/>
      <c r="N44" s="382"/>
    </row>
    <row r="45" spans="1:25" s="306" customFormat="1" ht="24.95" customHeight="1" x14ac:dyDescent="0.2">
      <c r="A45" s="164"/>
      <c r="B45" s="953" t="s">
        <v>298</v>
      </c>
      <c r="C45" s="954"/>
      <c r="D45" s="954"/>
      <c r="E45" s="954"/>
      <c r="F45" s="954"/>
      <c r="G45" s="954"/>
      <c r="H45" s="954"/>
      <c r="I45" s="954"/>
      <c r="J45" s="954"/>
      <c r="K45" s="954"/>
      <c r="L45" s="954"/>
      <c r="M45" s="955"/>
      <c r="N45" s="382"/>
      <c r="O45" s="164"/>
      <c r="P45" s="164"/>
      <c r="Q45" s="164"/>
      <c r="R45" s="164"/>
      <c r="S45" s="164"/>
      <c r="T45" s="164"/>
      <c r="U45" s="164"/>
      <c r="V45" s="164"/>
      <c r="W45" s="164"/>
      <c r="X45" s="164"/>
      <c r="Y45" s="164"/>
    </row>
    <row r="46" spans="1:25" s="507" customFormat="1" ht="39.950000000000003" customHeight="1" x14ac:dyDescent="0.2">
      <c r="B46" s="1019" t="s">
        <v>586</v>
      </c>
      <c r="C46" s="1020"/>
      <c r="D46" s="1057"/>
      <c r="E46" s="1058"/>
      <c r="F46" s="1058"/>
      <c r="G46" s="1058"/>
      <c r="H46" s="1058"/>
      <c r="I46" s="1058"/>
      <c r="J46" s="1058"/>
      <c r="K46" s="1058"/>
      <c r="L46" s="1058"/>
      <c r="M46" s="1059"/>
      <c r="N46" s="382"/>
    </row>
    <row r="47" spans="1:25" s="507" customFormat="1" ht="39.950000000000003" hidden="1" customHeight="1" x14ac:dyDescent="0.2">
      <c r="B47" s="1019" t="s">
        <v>587</v>
      </c>
      <c r="C47" s="1020"/>
      <c r="D47" s="1129"/>
      <c r="E47" s="1130"/>
      <c r="F47" s="1130"/>
      <c r="G47" s="1130"/>
      <c r="H47" s="1130"/>
      <c r="I47" s="1130"/>
      <c r="J47" s="1130"/>
      <c r="K47" s="1130"/>
      <c r="L47" s="1130"/>
      <c r="M47" s="1131"/>
      <c r="N47" s="382"/>
    </row>
    <row r="48" spans="1:25" s="507" customFormat="1" ht="79.5" customHeight="1" x14ac:dyDescent="0.2">
      <c r="B48" s="374" t="s">
        <v>318</v>
      </c>
      <c r="C48" s="375" t="s">
        <v>284</v>
      </c>
      <c r="D48" s="1034" t="s">
        <v>568</v>
      </c>
      <c r="E48" s="1034"/>
      <c r="F48" s="1034"/>
      <c r="G48" s="1040" t="s">
        <v>490</v>
      </c>
      <c r="H48" s="1041"/>
      <c r="I48" s="1042"/>
      <c r="J48" s="631" t="s">
        <v>269</v>
      </c>
      <c r="K48" s="631" t="s">
        <v>491</v>
      </c>
      <c r="L48" s="631" t="s">
        <v>492</v>
      </c>
      <c r="M48" s="376" t="s">
        <v>322</v>
      </c>
      <c r="N48" s="382"/>
    </row>
    <row r="49" spans="1:25" ht="24.95" customHeight="1" x14ac:dyDescent="0.2">
      <c r="B49" s="399"/>
      <c r="C49" s="400"/>
      <c r="D49" s="1043" t="e">
        <f>IF('SITE SUMMARY'!$G$35="High",E159,"-")</f>
        <v>#DIV/0!</v>
      </c>
      <c r="E49" s="1044"/>
      <c r="F49" s="1045"/>
      <c r="G49" s="1060"/>
      <c r="H49" s="1061"/>
      <c r="I49" s="1062"/>
      <c r="J49" s="378">
        <f>IF(ISERROR(VLOOKUP(C49,BMP,2,FALSE)),0,VLOOKUP(C49,BMP,2,FALSE))</f>
        <v>0</v>
      </c>
      <c r="K49" s="625">
        <f>IF(ISERROR($G$114),D46,$G$114+D46)</f>
        <v>0</v>
      </c>
      <c r="L49" s="625">
        <f>IF(ISERROR(K49*J49),0,K49*J49)</f>
        <v>0</v>
      </c>
      <c r="M49" s="401"/>
      <c r="N49" s="382"/>
      <c r="O49" s="379"/>
      <c r="P49" s="379"/>
      <c r="Q49" s="379"/>
      <c r="R49" s="379"/>
      <c r="S49" s="379"/>
      <c r="T49" s="379"/>
    </row>
    <row r="50" spans="1:25" ht="24.95" customHeight="1" x14ac:dyDescent="0.2">
      <c r="B50" s="399"/>
      <c r="C50" s="400"/>
      <c r="D50" s="1046"/>
      <c r="E50" s="1047"/>
      <c r="F50" s="1048"/>
      <c r="G50" s="1063"/>
      <c r="H50" s="1064"/>
      <c r="I50" s="1065"/>
      <c r="J50" s="378">
        <f>IF(ISERROR(VLOOKUP(C50,BMP,2,FALSE)),0,VLOOKUP(C50,BMP,2,FALSE))</f>
        <v>0</v>
      </c>
      <c r="K50" s="625">
        <f>IF(ISERROR(K49-L49),0,K49-L49)</f>
        <v>0</v>
      </c>
      <c r="L50" s="625">
        <f>IF(ISERROR(K50*J50),0,K50*J50)</f>
        <v>0</v>
      </c>
      <c r="M50" s="401"/>
      <c r="N50" s="382"/>
    </row>
    <row r="51" spans="1:25" ht="24.95" customHeight="1" x14ac:dyDescent="0.2">
      <c r="B51" s="399"/>
      <c r="C51" s="400"/>
      <c r="D51" s="1046"/>
      <c r="E51" s="1047"/>
      <c r="F51" s="1048"/>
      <c r="G51" s="1063"/>
      <c r="H51" s="1064"/>
      <c r="I51" s="1065"/>
      <c r="J51" s="378">
        <f>IF(ISERROR(VLOOKUP(C51,BMP,2,FALSE)),0,VLOOKUP(C51,BMP,2,FALSE))</f>
        <v>0</v>
      </c>
      <c r="K51" s="625">
        <f>IF(ISERROR(K50-L50),0,K50-L50)</f>
        <v>0</v>
      </c>
      <c r="L51" s="625">
        <f>IF(ISERROR(K51*J51),0,K51*J51)</f>
        <v>0</v>
      </c>
      <c r="M51" s="401"/>
      <c r="N51" s="382"/>
    </row>
    <row r="52" spans="1:25" ht="24.95" customHeight="1" x14ac:dyDescent="0.2">
      <c r="B52" s="399"/>
      <c r="C52" s="400"/>
      <c r="D52" s="1046"/>
      <c r="E52" s="1047"/>
      <c r="F52" s="1048"/>
      <c r="G52" s="1063"/>
      <c r="H52" s="1064"/>
      <c r="I52" s="1065"/>
      <c r="J52" s="378">
        <f>IF(ISERROR(VLOOKUP(C52,BMP,2,FALSE)),0,VLOOKUP(C52,BMP,2,FALSE))</f>
        <v>0</v>
      </c>
      <c r="K52" s="625">
        <f>IF(ISERROR(K51-L51),0,K51-L51)</f>
        <v>0</v>
      </c>
      <c r="L52" s="625">
        <f>IF(ISERROR(K52*J52),0,K52*J52)</f>
        <v>0</v>
      </c>
      <c r="M52" s="401"/>
      <c r="N52" s="382"/>
    </row>
    <row r="53" spans="1:25" ht="24.95" customHeight="1" x14ac:dyDescent="0.2">
      <c r="B53" s="399"/>
      <c r="C53" s="400"/>
      <c r="D53" s="1049"/>
      <c r="E53" s="1050"/>
      <c r="F53" s="1051"/>
      <c r="G53" s="1066"/>
      <c r="H53" s="1067"/>
      <c r="I53" s="1068"/>
      <c r="J53" s="378">
        <f>IF(ISERROR(VLOOKUP(C53,BMP,2,FALSE)),0,VLOOKUP(C53,BMP,2,FALSE))</f>
        <v>0</v>
      </c>
      <c r="K53" s="625">
        <f>IF(ISERROR(K52-L52),0,K52-L52)</f>
        <v>0</v>
      </c>
      <c r="L53" s="625">
        <f>IF(ISERROR(K53*J53),0,K53*J53)</f>
        <v>0</v>
      </c>
      <c r="M53" s="401"/>
      <c r="N53" s="381" t="e">
        <f>IF(G49&gt;(D49+5),"Exceeds Available Volume!","")</f>
        <v>#DIV/0!</v>
      </c>
    </row>
    <row r="54" spans="1:25" ht="24.95" customHeight="1" x14ac:dyDescent="0.2">
      <c r="B54" s="1052" t="s">
        <v>371</v>
      </c>
      <c r="C54" s="1053"/>
      <c r="D54" s="1054">
        <f>IF(J53&gt;0,K326-L53,IF(J52&gt;0,K52-L52,IF(J51&gt;0,K51-L51,IF(J50&gt;0,K50-L50,K49-L49))))</f>
        <v>0</v>
      </c>
      <c r="E54" s="1055"/>
      <c r="F54" s="1055"/>
      <c r="G54" s="1055"/>
      <c r="H54" s="1055"/>
      <c r="I54" s="1055"/>
      <c r="J54" s="1055"/>
      <c r="K54" s="1055"/>
      <c r="L54" s="1055"/>
      <c r="M54" s="1056"/>
      <c r="N54" s="382"/>
    </row>
    <row r="55" spans="1:25" s="306" customFormat="1" ht="24.95" customHeight="1" x14ac:dyDescent="0.2">
      <c r="A55" s="164"/>
      <c r="B55" s="953" t="s">
        <v>287</v>
      </c>
      <c r="C55" s="954"/>
      <c r="D55" s="954"/>
      <c r="E55" s="954"/>
      <c r="F55" s="954"/>
      <c r="G55" s="954"/>
      <c r="H55" s="954"/>
      <c r="I55" s="954"/>
      <c r="J55" s="954"/>
      <c r="K55" s="954"/>
      <c r="L55" s="954"/>
      <c r="M55" s="955"/>
      <c r="N55" s="382"/>
      <c r="O55" s="164"/>
      <c r="P55" s="164"/>
      <c r="Q55" s="164"/>
      <c r="R55" s="164"/>
      <c r="S55" s="164"/>
      <c r="T55" s="164"/>
      <c r="U55" s="164"/>
      <c r="V55" s="164"/>
      <c r="W55" s="164"/>
      <c r="X55" s="164"/>
      <c r="Y55" s="164"/>
    </row>
    <row r="56" spans="1:25" s="507" customFormat="1" ht="39.75" customHeight="1" x14ac:dyDescent="0.2">
      <c r="B56" s="1019" t="s">
        <v>499</v>
      </c>
      <c r="C56" s="1020"/>
      <c r="D56" s="1057"/>
      <c r="E56" s="1058"/>
      <c r="F56" s="1058"/>
      <c r="G56" s="1058"/>
      <c r="H56" s="1058"/>
      <c r="I56" s="1058"/>
      <c r="J56" s="1058"/>
      <c r="K56" s="1058"/>
      <c r="L56" s="1058"/>
      <c r="M56" s="1059"/>
      <c r="N56" s="382"/>
    </row>
    <row r="57" spans="1:25" s="507" customFormat="1" ht="39.75" hidden="1" customHeight="1" x14ac:dyDescent="0.2">
      <c r="B57" s="1019" t="s">
        <v>500</v>
      </c>
      <c r="C57" s="1020"/>
      <c r="D57" s="1129"/>
      <c r="E57" s="1130"/>
      <c r="F57" s="1130"/>
      <c r="G57" s="1130"/>
      <c r="H57" s="1130"/>
      <c r="I57" s="1130"/>
      <c r="J57" s="1130"/>
      <c r="K57" s="1130"/>
      <c r="L57" s="1130"/>
      <c r="M57" s="1131"/>
      <c r="N57" s="382"/>
    </row>
    <row r="58" spans="1:25" s="507" customFormat="1" ht="79.5" customHeight="1" x14ac:dyDescent="0.2">
      <c r="B58" s="374" t="s">
        <v>318</v>
      </c>
      <c r="C58" s="375" t="s">
        <v>284</v>
      </c>
      <c r="D58" s="1034" t="s">
        <v>568</v>
      </c>
      <c r="E58" s="1034"/>
      <c r="F58" s="1034"/>
      <c r="G58" s="1040" t="s">
        <v>490</v>
      </c>
      <c r="H58" s="1041"/>
      <c r="I58" s="1042"/>
      <c r="J58" s="631" t="s">
        <v>269</v>
      </c>
      <c r="K58" s="631" t="s">
        <v>491</v>
      </c>
      <c r="L58" s="631" t="s">
        <v>492</v>
      </c>
      <c r="M58" s="376" t="s">
        <v>322</v>
      </c>
      <c r="N58" s="382"/>
    </row>
    <row r="59" spans="1:25" ht="24.95" customHeight="1" x14ac:dyDescent="0.2">
      <c r="B59" s="399"/>
      <c r="C59" s="400"/>
      <c r="D59" s="1043" t="e">
        <f>IF('SITE SUMMARY'!$G$35="High",E163,"-")</f>
        <v>#DIV/0!</v>
      </c>
      <c r="E59" s="1044"/>
      <c r="F59" s="1045"/>
      <c r="G59" s="1060"/>
      <c r="H59" s="1061"/>
      <c r="I59" s="1062"/>
      <c r="J59" s="378">
        <f>IF(ISERROR(VLOOKUP(C59,BMP,2,FALSE)),0,VLOOKUP(C59,BMP,2,FALSE))</f>
        <v>0</v>
      </c>
      <c r="K59" s="625">
        <f>IF(ISERROR($H$114),D56,$H$114+D56)</f>
        <v>0</v>
      </c>
      <c r="L59" s="625">
        <f>IF(ISERROR(K59*J59),0,K59*J59)</f>
        <v>0</v>
      </c>
      <c r="M59" s="401"/>
      <c r="N59" s="382"/>
      <c r="O59" s="379"/>
      <c r="P59" s="379"/>
      <c r="Q59" s="379"/>
      <c r="R59" s="379"/>
      <c r="S59" s="379"/>
      <c r="T59" s="379"/>
    </row>
    <row r="60" spans="1:25" ht="24.95" customHeight="1" x14ac:dyDescent="0.2">
      <c r="B60" s="399"/>
      <c r="C60" s="400"/>
      <c r="D60" s="1046"/>
      <c r="E60" s="1047"/>
      <c r="F60" s="1048"/>
      <c r="G60" s="1063"/>
      <c r="H60" s="1064"/>
      <c r="I60" s="1065"/>
      <c r="J60" s="378">
        <f>IF(ISERROR(VLOOKUP(C60,BMP,2,FALSE)),0,VLOOKUP(C60,BMP,2,FALSE))</f>
        <v>0</v>
      </c>
      <c r="K60" s="625">
        <f>IF(ISERROR(K59-L59),0,K59-L59)</f>
        <v>0</v>
      </c>
      <c r="L60" s="625">
        <f>IF(ISERROR(K60*J60),0,K60*J60)</f>
        <v>0</v>
      </c>
      <c r="M60" s="401"/>
      <c r="N60" s="382"/>
    </row>
    <row r="61" spans="1:25" ht="24.95" customHeight="1" x14ac:dyDescent="0.2">
      <c r="B61" s="399"/>
      <c r="C61" s="400"/>
      <c r="D61" s="1046"/>
      <c r="E61" s="1047"/>
      <c r="F61" s="1048"/>
      <c r="G61" s="1063"/>
      <c r="H61" s="1064"/>
      <c r="I61" s="1065"/>
      <c r="J61" s="378">
        <f>IF(ISERROR(VLOOKUP(C61,BMP,2,FALSE)),0,VLOOKUP(C61,BMP,2,FALSE))</f>
        <v>0</v>
      </c>
      <c r="K61" s="625">
        <f>IF(ISERROR(K60-L60),0,K60-L60)</f>
        <v>0</v>
      </c>
      <c r="L61" s="625">
        <f>IF(ISERROR(K61*J61),0,K61*J61)</f>
        <v>0</v>
      </c>
      <c r="M61" s="401"/>
      <c r="N61" s="382"/>
    </row>
    <row r="62" spans="1:25" ht="24.95" customHeight="1" x14ac:dyDescent="0.2">
      <c r="B62" s="399"/>
      <c r="C62" s="400"/>
      <c r="D62" s="1046"/>
      <c r="E62" s="1047"/>
      <c r="F62" s="1048"/>
      <c r="G62" s="1063"/>
      <c r="H62" s="1064"/>
      <c r="I62" s="1065"/>
      <c r="J62" s="378">
        <f>IF(ISERROR(VLOOKUP(C62,BMP,2,FALSE)),0,VLOOKUP(C62,BMP,2,FALSE))</f>
        <v>0</v>
      </c>
      <c r="K62" s="625">
        <f>IF(ISERROR(K61-L61),0,K61-L61)</f>
        <v>0</v>
      </c>
      <c r="L62" s="625">
        <f>IF(ISERROR(K62*J62),0,K62*J62)</f>
        <v>0</v>
      </c>
      <c r="M62" s="401"/>
      <c r="N62" s="382"/>
    </row>
    <row r="63" spans="1:25" ht="24.95" customHeight="1" x14ac:dyDescent="0.2">
      <c r="B63" s="399"/>
      <c r="C63" s="400"/>
      <c r="D63" s="1049"/>
      <c r="E63" s="1050"/>
      <c r="F63" s="1051"/>
      <c r="G63" s="1066"/>
      <c r="H63" s="1067"/>
      <c r="I63" s="1068"/>
      <c r="J63" s="378">
        <f>IF(ISERROR(VLOOKUP(C63,BMP,2,FALSE)),0,VLOOKUP(C63,BMP,2,FALSE))</f>
        <v>0</v>
      </c>
      <c r="K63" s="625">
        <f>IF(ISERROR(K62-L62),0,K62-L62)</f>
        <v>0</v>
      </c>
      <c r="L63" s="625">
        <f>IF(ISERROR(K63*J63),0,K63*J63)</f>
        <v>0</v>
      </c>
      <c r="M63" s="401"/>
      <c r="N63" s="381" t="e">
        <f>IF(G59&gt;(D59+5),"Exceeds Available Volume!","")</f>
        <v>#DIV/0!</v>
      </c>
    </row>
    <row r="64" spans="1:25" ht="24.95" customHeight="1" x14ac:dyDescent="0.2">
      <c r="B64" s="1052" t="s">
        <v>371</v>
      </c>
      <c r="C64" s="1053"/>
      <c r="D64" s="1054">
        <f>IF(J63&gt;0,K63-L63,IF(J62&gt;0,K62-L62,IF(J61&gt;0,K61-L61,IF(J60&gt;0,K60-L60,K59-L59))))</f>
        <v>0</v>
      </c>
      <c r="E64" s="1055"/>
      <c r="F64" s="1055"/>
      <c r="G64" s="1055"/>
      <c r="H64" s="1055"/>
      <c r="I64" s="1055"/>
      <c r="J64" s="1055"/>
      <c r="K64" s="1055"/>
      <c r="L64" s="1055"/>
      <c r="M64" s="1056"/>
      <c r="N64" s="382"/>
    </row>
    <row r="65" spans="1:25" s="306" customFormat="1" ht="24.95" customHeight="1" x14ac:dyDescent="0.2">
      <c r="A65" s="164"/>
      <c r="B65" s="953" t="s">
        <v>372</v>
      </c>
      <c r="C65" s="954"/>
      <c r="D65" s="954"/>
      <c r="E65" s="954"/>
      <c r="F65" s="954"/>
      <c r="G65" s="954"/>
      <c r="H65" s="954"/>
      <c r="I65" s="954"/>
      <c r="J65" s="954"/>
      <c r="K65" s="954"/>
      <c r="L65" s="954"/>
      <c r="M65" s="955"/>
      <c r="N65" s="334"/>
      <c r="O65" s="164"/>
      <c r="P65" s="164"/>
      <c r="Q65" s="164"/>
      <c r="R65" s="164"/>
      <c r="S65" s="164"/>
      <c r="T65" s="164"/>
      <c r="U65" s="164"/>
      <c r="V65" s="164"/>
      <c r="W65" s="164"/>
      <c r="X65" s="164"/>
      <c r="Y65" s="164"/>
    </row>
    <row r="66" spans="1:25" s="507" customFormat="1" ht="39.950000000000003" customHeight="1" x14ac:dyDescent="0.2">
      <c r="B66" s="1019" t="s">
        <v>373</v>
      </c>
      <c r="C66" s="1020"/>
      <c r="D66" s="1057"/>
      <c r="E66" s="1058"/>
      <c r="F66" s="1058"/>
      <c r="G66" s="1058"/>
      <c r="H66" s="1058"/>
      <c r="I66" s="1058"/>
      <c r="J66" s="1058"/>
      <c r="K66" s="1058"/>
      <c r="L66" s="1058"/>
      <c r="M66" s="1059"/>
      <c r="N66" s="382"/>
    </row>
    <row r="67" spans="1:25" s="507" customFormat="1" ht="39.950000000000003" hidden="1" customHeight="1" x14ac:dyDescent="0.2">
      <c r="B67" s="1019" t="s">
        <v>501</v>
      </c>
      <c r="C67" s="1020"/>
      <c r="D67" s="1129"/>
      <c r="E67" s="1130"/>
      <c r="F67" s="1130"/>
      <c r="G67" s="1130"/>
      <c r="H67" s="1130"/>
      <c r="I67" s="1130"/>
      <c r="J67" s="1130"/>
      <c r="K67" s="1130"/>
      <c r="L67" s="1130"/>
      <c r="M67" s="1131"/>
      <c r="N67" s="382"/>
    </row>
    <row r="68" spans="1:25" s="507" customFormat="1" ht="79.5" customHeight="1" x14ac:dyDescent="0.2">
      <c r="B68" s="374" t="s">
        <v>318</v>
      </c>
      <c r="C68" s="375" t="s">
        <v>284</v>
      </c>
      <c r="D68" s="1034" t="s">
        <v>568</v>
      </c>
      <c r="E68" s="1034"/>
      <c r="F68" s="1034"/>
      <c r="G68" s="1034" t="s">
        <v>490</v>
      </c>
      <c r="H68" s="1034"/>
      <c r="I68" s="1034"/>
      <c r="J68" s="631" t="s">
        <v>269</v>
      </c>
      <c r="K68" s="631" t="s">
        <v>491</v>
      </c>
      <c r="L68" s="631" t="s">
        <v>492</v>
      </c>
      <c r="M68" s="376" t="s">
        <v>322</v>
      </c>
      <c r="N68" s="382"/>
    </row>
    <row r="69" spans="1:25" ht="24.95" customHeight="1" x14ac:dyDescent="0.2">
      <c r="B69" s="399"/>
      <c r="C69" s="400"/>
      <c r="D69" s="1043" t="e">
        <f>IF('SITE SUMMARY'!$G$35="High",E167,"-")</f>
        <v>#DIV/0!</v>
      </c>
      <c r="E69" s="1044"/>
      <c r="F69" s="1045"/>
      <c r="G69" s="1060"/>
      <c r="H69" s="1061"/>
      <c r="I69" s="1062"/>
      <c r="J69" s="378">
        <f>IF(ISERROR(VLOOKUP(C69,BMP,2,FALSE)),0,VLOOKUP(C69,BMP,2,FALSE))</f>
        <v>0</v>
      </c>
      <c r="K69" s="625">
        <f>IF(ISERROR($I$114),D66,$I$114+D66)</f>
        <v>0</v>
      </c>
      <c r="L69" s="625">
        <f>IF(ISERROR(K69*J69),0,K69*J69)</f>
        <v>0</v>
      </c>
      <c r="M69" s="401"/>
      <c r="N69" s="382"/>
      <c r="O69" s="379"/>
      <c r="P69" s="379"/>
      <c r="Q69" s="379"/>
      <c r="R69" s="379"/>
      <c r="S69" s="379"/>
      <c r="T69" s="379"/>
    </row>
    <row r="70" spans="1:25" ht="24.95" customHeight="1" x14ac:dyDescent="0.2">
      <c r="B70" s="399"/>
      <c r="C70" s="400"/>
      <c r="D70" s="1046"/>
      <c r="E70" s="1047"/>
      <c r="F70" s="1048"/>
      <c r="G70" s="1063"/>
      <c r="H70" s="1064"/>
      <c r="I70" s="1065"/>
      <c r="J70" s="378">
        <f>IF(ISERROR(VLOOKUP(C70,BMP,2,FALSE)),0,VLOOKUP(C70,BMP,2,FALSE))</f>
        <v>0</v>
      </c>
      <c r="K70" s="625">
        <f>IF(ISERROR(K69-L69),0,K69-L69)</f>
        <v>0</v>
      </c>
      <c r="L70" s="625">
        <f>IF(ISERROR(K70*J70),0,K70*J70)</f>
        <v>0</v>
      </c>
      <c r="M70" s="401"/>
      <c r="N70" s="382"/>
    </row>
    <row r="71" spans="1:25" ht="24.95" customHeight="1" x14ac:dyDescent="0.2">
      <c r="B71" s="399"/>
      <c r="C71" s="400"/>
      <c r="D71" s="1046"/>
      <c r="E71" s="1047"/>
      <c r="F71" s="1048"/>
      <c r="G71" s="1063"/>
      <c r="H71" s="1064"/>
      <c r="I71" s="1065"/>
      <c r="J71" s="378">
        <f>IF(ISERROR(VLOOKUP(C71,BMP,2,FALSE)),0,VLOOKUP(C71,BMP,2,FALSE))</f>
        <v>0</v>
      </c>
      <c r="K71" s="625">
        <f>IF(ISERROR(K70-L70),0,K70-L70)</f>
        <v>0</v>
      </c>
      <c r="L71" s="625">
        <f>IF(ISERROR(K71*J71),0,K71*J71)</f>
        <v>0</v>
      </c>
      <c r="M71" s="401"/>
      <c r="N71" s="382"/>
    </row>
    <row r="72" spans="1:25" ht="24.95" customHeight="1" x14ac:dyDescent="0.2">
      <c r="B72" s="399"/>
      <c r="C72" s="400"/>
      <c r="D72" s="1046"/>
      <c r="E72" s="1047"/>
      <c r="F72" s="1048"/>
      <c r="G72" s="1063"/>
      <c r="H72" s="1064"/>
      <c r="I72" s="1065"/>
      <c r="J72" s="378">
        <f>IF(ISERROR(VLOOKUP(C72,BMP,2,FALSE)),0,VLOOKUP(C72,BMP,2,FALSE))</f>
        <v>0</v>
      </c>
      <c r="K72" s="625">
        <f>IF(ISERROR(K71-L71),0,K71-L71)</f>
        <v>0</v>
      </c>
      <c r="L72" s="625">
        <f>IF(ISERROR(K72*J72),0,K72*J72)</f>
        <v>0</v>
      </c>
      <c r="M72" s="401"/>
      <c r="N72" s="382"/>
    </row>
    <row r="73" spans="1:25" ht="24.95" customHeight="1" x14ac:dyDescent="0.2">
      <c r="B73" s="399"/>
      <c r="C73" s="400"/>
      <c r="D73" s="1049"/>
      <c r="E73" s="1050"/>
      <c r="F73" s="1051"/>
      <c r="G73" s="1066"/>
      <c r="H73" s="1067"/>
      <c r="I73" s="1068"/>
      <c r="J73" s="378">
        <f>IF(ISERROR(VLOOKUP(C73,BMP,2,FALSE)),0,VLOOKUP(C73,BMP,2,FALSE))</f>
        <v>0</v>
      </c>
      <c r="K73" s="625">
        <f>IF(ISERROR(K72-L72),0,K72-L72)</f>
        <v>0</v>
      </c>
      <c r="L73" s="625">
        <f>IF(ISERROR(K73*J73),0,K73*J73)</f>
        <v>0</v>
      </c>
      <c r="M73" s="401"/>
      <c r="N73" s="381" t="e">
        <f>IF(G69&gt;(D69+5),"Exceeds Available Volume!","")</f>
        <v>#DIV/0!</v>
      </c>
    </row>
    <row r="74" spans="1:25" ht="24.95" customHeight="1" x14ac:dyDescent="0.2">
      <c r="B74" s="1052" t="s">
        <v>371</v>
      </c>
      <c r="C74" s="1053"/>
      <c r="D74" s="1054">
        <f>IF(J73&gt;0,K73-L73,IF(J72&gt;0,K72-L72,IF(J71&gt;0,K71-L71,IF(J70&gt;0,K70-L70,K69-L69))))</f>
        <v>0</v>
      </c>
      <c r="E74" s="1055"/>
      <c r="F74" s="1055"/>
      <c r="G74" s="1055"/>
      <c r="H74" s="1055"/>
      <c r="I74" s="1055"/>
      <c r="J74" s="1055"/>
      <c r="K74" s="1055"/>
      <c r="L74" s="1055"/>
      <c r="M74" s="1056"/>
      <c r="N74" s="382"/>
    </row>
    <row r="75" spans="1:25" ht="24.95" customHeight="1" x14ac:dyDescent="0.2">
      <c r="B75" s="1116" t="s">
        <v>645</v>
      </c>
      <c r="C75" s="1117"/>
      <c r="D75" s="1117"/>
      <c r="E75" s="1117"/>
      <c r="F75" s="1117"/>
      <c r="G75" s="1117"/>
      <c r="H75" s="1117"/>
      <c r="I75" s="1117"/>
      <c r="J75" s="1117"/>
      <c r="K75" s="1117"/>
      <c r="L75" s="1117"/>
      <c r="M75" s="1118"/>
      <c r="N75" s="1132" t="s">
        <v>422</v>
      </c>
    </row>
    <row r="76" spans="1:25" ht="24.95" customHeight="1" x14ac:dyDescent="0.2">
      <c r="B76" s="1110" t="s">
        <v>493</v>
      </c>
      <c r="C76" s="1111"/>
      <c r="D76" s="1112">
        <f>G29+G39+G49+G59+G69</f>
        <v>0</v>
      </c>
      <c r="E76" s="1113"/>
      <c r="F76" s="1113"/>
      <c r="G76" s="1113"/>
      <c r="H76" s="1113"/>
      <c r="I76" s="1113"/>
      <c r="J76" s="1113"/>
      <c r="K76" s="1113"/>
      <c r="L76" s="1113"/>
      <c r="M76" s="1114"/>
      <c r="N76" s="1132"/>
    </row>
    <row r="77" spans="1:25" ht="24.95" customHeight="1" x14ac:dyDescent="0.2">
      <c r="B77" s="1069" t="s">
        <v>338</v>
      </c>
      <c r="C77" s="884"/>
      <c r="D77" s="1070">
        <f>SUM(L29:L33,L39:L43,L49:L53,L59:L63,L69:L73)</f>
        <v>0</v>
      </c>
      <c r="E77" s="1070"/>
      <c r="F77" s="1070"/>
      <c r="G77" s="1070"/>
      <c r="H77" s="1070"/>
      <c r="I77" s="1070"/>
      <c r="J77" s="1070"/>
      <c r="K77" s="1070"/>
      <c r="L77" s="1070"/>
      <c r="M77" s="1071"/>
      <c r="N77" s="1132"/>
    </row>
    <row r="78" spans="1:25" ht="24.95" customHeight="1" x14ac:dyDescent="0.2">
      <c r="B78" s="1099" t="s">
        <v>337</v>
      </c>
      <c r="C78" s="1100"/>
      <c r="D78" s="1100"/>
      <c r="E78" s="1100"/>
      <c r="F78" s="1100"/>
      <c r="G78" s="1100"/>
      <c r="H78" s="1100"/>
      <c r="I78" s="1100"/>
      <c r="J78" s="1100"/>
      <c r="K78" s="1100"/>
      <c r="L78" s="1100"/>
      <c r="M78" s="1101"/>
      <c r="N78" s="1132"/>
    </row>
    <row r="79" spans="1:25" ht="24.95" customHeight="1" x14ac:dyDescent="0.2">
      <c r="B79" s="883" t="s">
        <v>465</v>
      </c>
      <c r="C79" s="884"/>
      <c r="D79" s="1072">
        <f>IF(('DA5'!H83-D76)&lt;0,0,'DA5'!H83-D76)</f>
        <v>0</v>
      </c>
      <c r="E79" s="1072"/>
      <c r="F79" s="1072"/>
      <c r="G79" s="1072"/>
      <c r="H79" s="1072"/>
      <c r="I79" s="1072"/>
      <c r="J79" s="1072"/>
      <c r="K79" s="1072"/>
      <c r="L79" s="1072"/>
      <c r="M79" s="1073"/>
      <c r="N79" s="1132"/>
    </row>
    <row r="80" spans="1:25" ht="24.95" customHeight="1" x14ac:dyDescent="0.2">
      <c r="B80" s="1069" t="s">
        <v>413</v>
      </c>
      <c r="C80" s="884"/>
      <c r="D80" s="1074" t="e">
        <f>((((D79)/(C9*43560)))*12)</f>
        <v>#DIV/0!</v>
      </c>
      <c r="E80" s="1074"/>
      <c r="F80" s="1074"/>
      <c r="G80" s="1074"/>
      <c r="H80" s="1074"/>
      <c r="I80" s="1074"/>
      <c r="J80" s="1074"/>
      <c r="K80" s="1074"/>
      <c r="L80" s="1074"/>
      <c r="M80" s="1075"/>
      <c r="N80" s="1132"/>
    </row>
    <row r="81" spans="1:14" ht="24.95" customHeight="1" x14ac:dyDescent="0.2">
      <c r="B81" s="1069" t="s">
        <v>409</v>
      </c>
      <c r="C81" s="884"/>
      <c r="D81" s="1076">
        <f>IF(ISERROR(VLOOKUP($D$80,CN,2,TRUE)),0,VLOOKUP($D$80,CN,2,TRUE))</f>
        <v>0</v>
      </c>
      <c r="E81" s="1076"/>
      <c r="F81" s="1076"/>
      <c r="G81" s="1076"/>
      <c r="H81" s="1076"/>
      <c r="I81" s="1076"/>
      <c r="J81" s="1076"/>
      <c r="K81" s="1076"/>
      <c r="L81" s="1076"/>
      <c r="M81" s="1077"/>
      <c r="N81" s="1132"/>
    </row>
    <row r="82" spans="1:14" ht="33.75" customHeight="1" x14ac:dyDescent="0.2">
      <c r="B82" s="1069" t="s">
        <v>353</v>
      </c>
      <c r="C82" s="884"/>
      <c r="D82" s="1102"/>
      <c r="E82" s="1103"/>
      <c r="F82" s="1103"/>
      <c r="G82" s="1103"/>
      <c r="H82" s="1103"/>
      <c r="I82" s="1103"/>
      <c r="J82" s="1103"/>
      <c r="K82" s="1103"/>
      <c r="L82" s="1103"/>
      <c r="M82" s="1104"/>
      <c r="N82" s="1132"/>
    </row>
    <row r="83" spans="1:14" ht="24.95" customHeight="1" x14ac:dyDescent="0.2">
      <c r="B83" s="1099" t="s">
        <v>374</v>
      </c>
      <c r="C83" s="1100"/>
      <c r="D83" s="1100"/>
      <c r="E83" s="1100"/>
      <c r="F83" s="1100"/>
      <c r="G83" s="1100"/>
      <c r="H83" s="1100"/>
      <c r="I83" s="1100"/>
      <c r="J83" s="1100"/>
      <c r="K83" s="1100"/>
      <c r="L83" s="1100"/>
      <c r="M83" s="1101"/>
      <c r="N83" s="1132"/>
    </row>
    <row r="84" spans="1:14" ht="24.95" customHeight="1" x14ac:dyDescent="0.2">
      <c r="B84" s="883" t="s">
        <v>416</v>
      </c>
      <c r="C84" s="884"/>
      <c r="D84" s="1072" t="e">
        <f>IF(('DA5'!H88-D76)&lt;0,0,'DA5'!H88-D76)</f>
        <v>#DIV/0!</v>
      </c>
      <c r="E84" s="1072"/>
      <c r="F84" s="1072"/>
      <c r="G84" s="1072"/>
      <c r="H84" s="1072"/>
      <c r="I84" s="1072"/>
      <c r="J84" s="1072"/>
      <c r="K84" s="1072"/>
      <c r="L84" s="1072"/>
      <c r="M84" s="1073"/>
      <c r="N84" s="1132"/>
    </row>
    <row r="85" spans="1:14" ht="24.95" customHeight="1" x14ac:dyDescent="0.2">
      <c r="B85" s="1105" t="s">
        <v>411</v>
      </c>
      <c r="C85" s="1106"/>
      <c r="D85" s="1074" t="e">
        <f>((D84/(C9*43560)))*12</f>
        <v>#DIV/0!</v>
      </c>
      <c r="E85" s="1074"/>
      <c r="F85" s="1074"/>
      <c r="G85" s="1074"/>
      <c r="H85" s="1074"/>
      <c r="I85" s="1074"/>
      <c r="J85" s="1074"/>
      <c r="K85" s="1074"/>
      <c r="L85" s="1074"/>
      <c r="M85" s="1075"/>
      <c r="N85" s="1132"/>
    </row>
    <row r="86" spans="1:14" ht="24.95" customHeight="1" x14ac:dyDescent="0.2">
      <c r="B86" s="1069" t="s">
        <v>431</v>
      </c>
      <c r="C86" s="884"/>
      <c r="D86" s="1076">
        <f>IF(ISERROR(VLOOKUP(D85,CN2YR,2,TRUE)),0,VLOOKUP(D85,CN2YR,2,TRUE))</f>
        <v>0</v>
      </c>
      <c r="E86" s="1076"/>
      <c r="F86" s="1076"/>
      <c r="G86" s="1076"/>
      <c r="H86" s="1076"/>
      <c r="I86" s="1076"/>
      <c r="J86" s="1076"/>
      <c r="K86" s="1076"/>
      <c r="L86" s="1076"/>
      <c r="M86" s="1077"/>
      <c r="N86" s="1132"/>
    </row>
    <row r="87" spans="1:14" ht="33.75" customHeight="1" x14ac:dyDescent="0.2">
      <c r="B87" s="1069" t="s">
        <v>410</v>
      </c>
      <c r="C87" s="884"/>
      <c r="D87" s="1102"/>
      <c r="E87" s="1103"/>
      <c r="F87" s="1103"/>
      <c r="G87" s="1103"/>
      <c r="H87" s="1103"/>
      <c r="I87" s="1103"/>
      <c r="J87" s="1103"/>
      <c r="K87" s="1103"/>
      <c r="L87" s="1103"/>
      <c r="M87" s="1104"/>
      <c r="N87" s="1132"/>
    </row>
    <row r="88" spans="1:14" ht="24.95" customHeight="1" x14ac:dyDescent="0.2">
      <c r="B88" s="1099" t="s">
        <v>376</v>
      </c>
      <c r="C88" s="1100"/>
      <c r="D88" s="1100"/>
      <c r="E88" s="1100"/>
      <c r="F88" s="1100"/>
      <c r="G88" s="1100"/>
      <c r="H88" s="1100"/>
      <c r="I88" s="1100"/>
      <c r="J88" s="1100"/>
      <c r="K88" s="1100"/>
      <c r="L88" s="1100"/>
      <c r="M88" s="1101"/>
      <c r="N88" s="1132"/>
    </row>
    <row r="89" spans="1:14" s="169" customFormat="1" ht="24.95" hidden="1" customHeight="1" x14ac:dyDescent="0.2">
      <c r="A89" s="216"/>
      <c r="B89" s="1097" t="s">
        <v>417</v>
      </c>
      <c r="C89" s="1098"/>
      <c r="D89" s="1078" t="e">
        <f>('DA5'!H91/12)*('DA5'!H10*43560)</f>
        <v>#DIV/0!</v>
      </c>
      <c r="E89" s="1079"/>
      <c r="F89" s="1079"/>
      <c r="G89" s="1079"/>
      <c r="H89" s="1079"/>
      <c r="I89" s="1079"/>
      <c r="J89" s="1079"/>
      <c r="K89" s="1079"/>
      <c r="L89" s="1079"/>
      <c r="M89" s="1080"/>
      <c r="N89" s="1132"/>
    </row>
    <row r="90" spans="1:14" ht="24.95" customHeight="1" x14ac:dyDescent="0.2">
      <c r="B90" s="883" t="s">
        <v>466</v>
      </c>
      <c r="C90" s="884"/>
      <c r="D90" s="1072" t="e">
        <f>IF(('DA5'!H92-D76)&lt;0,0,'DA5'!H92-D76)</f>
        <v>#DIV/0!</v>
      </c>
      <c r="E90" s="1072"/>
      <c r="F90" s="1072"/>
      <c r="G90" s="1072"/>
      <c r="H90" s="1072"/>
      <c r="I90" s="1072"/>
      <c r="J90" s="1072"/>
      <c r="K90" s="1072"/>
      <c r="L90" s="1072"/>
      <c r="M90" s="1073"/>
      <c r="N90" s="1132"/>
    </row>
    <row r="91" spans="1:14" ht="24.95" customHeight="1" x14ac:dyDescent="0.2">
      <c r="B91" s="1069" t="s">
        <v>432</v>
      </c>
      <c r="C91" s="884"/>
      <c r="D91" s="1074" t="e">
        <f>((D90/(C9*43560)))*12</f>
        <v>#DIV/0!</v>
      </c>
      <c r="E91" s="1074"/>
      <c r="F91" s="1074"/>
      <c r="G91" s="1074"/>
      <c r="H91" s="1074"/>
      <c r="I91" s="1074"/>
      <c r="J91" s="1074"/>
      <c r="K91" s="1074"/>
      <c r="L91" s="1074"/>
      <c r="M91" s="1075"/>
      <c r="N91" s="1132"/>
    </row>
    <row r="92" spans="1:14" ht="24.95" customHeight="1" x14ac:dyDescent="0.2">
      <c r="B92" s="1105" t="s">
        <v>433</v>
      </c>
      <c r="C92" s="1106"/>
      <c r="D92" s="1076">
        <f>IF(ISERROR(VLOOKUP(D91,CN2YR,2,TRUE)),0,VLOOKUP(D91,CN2YR,2,TRUE))</f>
        <v>0</v>
      </c>
      <c r="E92" s="1076"/>
      <c r="F92" s="1076"/>
      <c r="G92" s="1076"/>
      <c r="H92" s="1076"/>
      <c r="I92" s="1076"/>
      <c r="J92" s="1076"/>
      <c r="K92" s="1076"/>
      <c r="L92" s="1076"/>
      <c r="M92" s="1077"/>
      <c r="N92" s="1132"/>
    </row>
    <row r="93" spans="1:14" ht="33.75" customHeight="1" thickBot="1" x14ac:dyDescent="0.25">
      <c r="B93" s="1021" t="s">
        <v>412</v>
      </c>
      <c r="C93" s="1022"/>
      <c r="D93" s="1023"/>
      <c r="E93" s="1024"/>
      <c r="F93" s="1024"/>
      <c r="G93" s="1024"/>
      <c r="H93" s="1024"/>
      <c r="I93" s="1024"/>
      <c r="J93" s="1024"/>
      <c r="K93" s="1024"/>
      <c r="L93" s="1024"/>
      <c r="M93" s="1025"/>
      <c r="N93" s="1132"/>
    </row>
    <row r="94" spans="1:14" s="507" customFormat="1" x14ac:dyDescent="0.2">
      <c r="K94" s="573"/>
    </row>
    <row r="95" spans="1:14" s="507" customFormat="1" hidden="1" x14ac:dyDescent="0.2">
      <c r="K95" s="573"/>
    </row>
    <row r="96" spans="1:14" s="507" customFormat="1" hidden="1" x14ac:dyDescent="0.2">
      <c r="K96" s="573"/>
    </row>
    <row r="97" spans="1:25" s="507" customFormat="1" hidden="1" x14ac:dyDescent="0.2">
      <c r="K97" s="573"/>
    </row>
    <row r="98" spans="1:25" s="507" customFormat="1" hidden="1" x14ac:dyDescent="0.2">
      <c r="K98" s="573"/>
      <c r="N98" s="344"/>
    </row>
    <row r="99" spans="1:25" s="383" customFormat="1" ht="15.75" hidden="1" x14ac:dyDescent="0.25">
      <c r="A99" s="508"/>
      <c r="B99" s="313" t="s">
        <v>126</v>
      </c>
      <c r="K99" s="449"/>
    </row>
    <row r="100" spans="1:25" hidden="1" x14ac:dyDescent="0.2">
      <c r="B100" s="507"/>
      <c r="C100" s="507"/>
      <c r="D100" s="507"/>
      <c r="E100" s="507"/>
      <c r="F100" s="507"/>
      <c r="G100" s="507"/>
      <c r="H100" s="507"/>
      <c r="I100" s="507"/>
      <c r="J100" s="507"/>
      <c r="K100" s="573"/>
      <c r="L100" s="507"/>
      <c r="M100" s="507"/>
      <c r="N100" s="347"/>
    </row>
    <row r="101" spans="1:25" hidden="1" x14ac:dyDescent="0.2">
      <c r="B101" s="507"/>
      <c r="C101" s="507"/>
      <c r="D101" s="507"/>
      <c r="E101" s="507"/>
      <c r="F101" s="507"/>
      <c r="G101" s="507"/>
      <c r="H101" s="507"/>
      <c r="I101" s="507"/>
      <c r="J101" s="507"/>
      <c r="K101" s="573"/>
      <c r="L101" s="507"/>
      <c r="M101" s="507"/>
      <c r="N101" s="347"/>
    </row>
    <row r="102" spans="1:25" ht="18" hidden="1" x14ac:dyDescent="0.25">
      <c r="B102" s="384" t="s">
        <v>276</v>
      </c>
      <c r="C102" s="384"/>
      <c r="D102" s="384"/>
      <c r="E102" s="384"/>
      <c r="F102" s="384"/>
      <c r="G102" s="384"/>
      <c r="H102" s="384"/>
      <c r="I102" s="384"/>
      <c r="J102" s="384"/>
      <c r="K102" s="384"/>
      <c r="L102" s="384"/>
      <c r="M102" s="384"/>
      <c r="N102" s="347"/>
    </row>
    <row r="103" spans="1:25" hidden="1" x14ac:dyDescent="0.2">
      <c r="B103" s="507"/>
      <c r="C103" s="507"/>
      <c r="D103" s="507"/>
      <c r="E103" s="507"/>
      <c r="F103" s="507"/>
      <c r="G103" s="507"/>
      <c r="H103" s="507"/>
      <c r="I103" s="507"/>
      <c r="J103" s="507"/>
      <c r="K103" s="573"/>
      <c r="L103" s="507"/>
      <c r="M103" s="507"/>
      <c r="N103" s="347"/>
    </row>
    <row r="104" spans="1:25" ht="47.25" hidden="1" x14ac:dyDescent="0.2">
      <c r="B104" s="385" t="s">
        <v>273</v>
      </c>
      <c r="C104" s="386"/>
      <c r="D104" s="579" t="s">
        <v>553</v>
      </c>
      <c r="E104" s="580" t="s">
        <v>646</v>
      </c>
      <c r="F104" s="580" t="s">
        <v>647</v>
      </c>
      <c r="G104" s="580" t="s">
        <v>648</v>
      </c>
      <c r="H104" s="591" t="s">
        <v>649</v>
      </c>
      <c r="I104" s="591" t="s">
        <v>650</v>
      </c>
      <c r="J104" s="507"/>
      <c r="K104" s="507"/>
      <c r="L104" s="609"/>
      <c r="M104" s="507"/>
      <c r="N104" s="507"/>
      <c r="X104" s="161"/>
      <c r="Y104" s="161"/>
    </row>
    <row r="105" spans="1:25" hidden="1" x14ac:dyDescent="0.2">
      <c r="B105" s="592" t="s">
        <v>12</v>
      </c>
      <c r="C105" s="387"/>
      <c r="D105" s="578">
        <v>1.2</v>
      </c>
      <c r="E105" s="388">
        <f>(SUM(D17:E17))*$D$105</f>
        <v>0</v>
      </c>
      <c r="F105" s="388">
        <f t="shared" ref="F105:F112" si="1">(SUM(F17:G17))*D105</f>
        <v>0</v>
      </c>
      <c r="G105" s="388">
        <f t="shared" ref="G105:G112" si="2">(SUM(H17:I17))*D105</f>
        <v>0</v>
      </c>
      <c r="H105" s="388">
        <f t="shared" ref="H105:H112" si="3">(SUM(J17:K17))*D105</f>
        <v>0</v>
      </c>
      <c r="I105" s="388">
        <f t="shared" ref="I105:I112" si="4">(SUM(L17:M17))*D105</f>
        <v>0</v>
      </c>
      <c r="J105" s="507"/>
      <c r="K105" s="507"/>
      <c r="L105" s="611" t="s">
        <v>515</v>
      </c>
      <c r="M105" s="507"/>
      <c r="N105" s="507"/>
      <c r="X105" s="161"/>
      <c r="Y105" s="161"/>
    </row>
    <row r="106" spans="1:25" hidden="1" x14ac:dyDescent="0.2">
      <c r="B106" s="592" t="s">
        <v>253</v>
      </c>
      <c r="C106" s="387"/>
      <c r="D106" s="578">
        <v>1.6</v>
      </c>
      <c r="E106" s="388">
        <f>(SUM(D18:E18))*$D$106</f>
        <v>0</v>
      </c>
      <c r="F106" s="388">
        <f t="shared" si="1"/>
        <v>0</v>
      </c>
      <c r="G106" s="388">
        <f t="shared" si="2"/>
        <v>0</v>
      </c>
      <c r="H106" s="388">
        <f t="shared" si="3"/>
        <v>0</v>
      </c>
      <c r="I106" s="388">
        <f t="shared" si="4"/>
        <v>0</v>
      </c>
      <c r="J106" s="507"/>
      <c r="K106" s="507"/>
      <c r="L106" s="610" t="s">
        <v>516</v>
      </c>
      <c r="M106" s="507"/>
      <c r="N106" s="507"/>
      <c r="X106" s="161"/>
      <c r="Y106" s="161"/>
    </row>
    <row r="107" spans="1:25" hidden="1" x14ac:dyDescent="0.2">
      <c r="B107" s="592" t="s">
        <v>258</v>
      </c>
      <c r="C107" s="387"/>
      <c r="D107" s="578">
        <v>1.2</v>
      </c>
      <c r="E107" s="388">
        <f>(SUM(D19:E19))*$D$107</f>
        <v>0</v>
      </c>
      <c r="F107" s="388">
        <f t="shared" si="1"/>
        <v>0</v>
      </c>
      <c r="G107" s="388">
        <f t="shared" si="2"/>
        <v>0</v>
      </c>
      <c r="H107" s="388">
        <f t="shared" si="3"/>
        <v>0</v>
      </c>
      <c r="I107" s="388">
        <f t="shared" si="4"/>
        <v>0</v>
      </c>
      <c r="J107" s="507"/>
      <c r="K107" s="507"/>
      <c r="L107" s="610"/>
      <c r="M107" s="507"/>
      <c r="N107" s="507"/>
      <c r="X107" s="161"/>
      <c r="Y107" s="161"/>
    </row>
    <row r="108" spans="1:25" hidden="1" x14ac:dyDescent="0.2">
      <c r="B108" s="592" t="s">
        <v>254</v>
      </c>
      <c r="C108" s="387"/>
      <c r="D108" s="578">
        <v>0.8</v>
      </c>
      <c r="E108" s="388">
        <f>(SUM(D20:E20))*$D$108</f>
        <v>0</v>
      </c>
      <c r="F108" s="388">
        <f t="shared" si="1"/>
        <v>0</v>
      </c>
      <c r="G108" s="388">
        <f t="shared" si="2"/>
        <v>0</v>
      </c>
      <c r="H108" s="388">
        <f t="shared" si="3"/>
        <v>0</v>
      </c>
      <c r="I108" s="388">
        <f t="shared" si="4"/>
        <v>0</v>
      </c>
      <c r="J108" s="507"/>
      <c r="K108" s="507"/>
      <c r="L108" s="523"/>
      <c r="M108" s="507"/>
      <c r="N108" s="507"/>
      <c r="X108" s="161"/>
      <c r="Y108" s="161"/>
    </row>
    <row r="109" spans="1:25" hidden="1" x14ac:dyDescent="0.2">
      <c r="B109" s="592" t="s">
        <v>255</v>
      </c>
      <c r="C109" s="387"/>
      <c r="D109" s="389">
        <v>1</v>
      </c>
      <c r="E109" s="388">
        <f>(SUM(D21:E21))*$D$109</f>
        <v>0</v>
      </c>
      <c r="F109" s="388">
        <f t="shared" si="1"/>
        <v>0</v>
      </c>
      <c r="G109" s="388">
        <f t="shared" si="2"/>
        <v>0</v>
      </c>
      <c r="H109" s="388">
        <f t="shared" si="3"/>
        <v>0</v>
      </c>
      <c r="I109" s="388">
        <f t="shared" si="4"/>
        <v>0</v>
      </c>
      <c r="J109" s="507"/>
      <c r="K109" s="507"/>
      <c r="L109" s="523"/>
      <c r="M109" s="507"/>
      <c r="N109" s="507"/>
      <c r="X109" s="161"/>
      <c r="Y109" s="161"/>
    </row>
    <row r="110" spans="1:25" hidden="1" x14ac:dyDescent="0.2">
      <c r="B110" s="592" t="s">
        <v>256</v>
      </c>
      <c r="C110" s="387"/>
      <c r="D110" s="578">
        <v>0.8</v>
      </c>
      <c r="E110" s="388">
        <f>(SUM(D22:E22))*$D$110</f>
        <v>0</v>
      </c>
      <c r="F110" s="388">
        <f t="shared" si="1"/>
        <v>0</v>
      </c>
      <c r="G110" s="388">
        <f t="shared" si="2"/>
        <v>0</v>
      </c>
      <c r="H110" s="388">
        <f t="shared" si="3"/>
        <v>0</v>
      </c>
      <c r="I110" s="388">
        <f t="shared" si="4"/>
        <v>0</v>
      </c>
      <c r="J110" s="507"/>
      <c r="K110" s="507"/>
      <c r="L110" s="523"/>
      <c r="M110" s="507"/>
      <c r="N110" s="507"/>
      <c r="X110" s="161"/>
      <c r="Y110" s="161"/>
    </row>
    <row r="111" spans="1:25" hidden="1" x14ac:dyDescent="0.2">
      <c r="B111" s="592" t="s">
        <v>257</v>
      </c>
      <c r="C111" s="387"/>
      <c r="D111" s="578">
        <v>0.6</v>
      </c>
      <c r="E111" s="388">
        <f>(SUM(D23:E23))*$D$111</f>
        <v>0</v>
      </c>
      <c r="F111" s="388">
        <f t="shared" si="1"/>
        <v>0</v>
      </c>
      <c r="G111" s="388">
        <f t="shared" si="2"/>
        <v>0</v>
      </c>
      <c r="H111" s="388">
        <f t="shared" si="3"/>
        <v>0</v>
      </c>
      <c r="I111" s="388">
        <f t="shared" si="4"/>
        <v>0</v>
      </c>
      <c r="J111" s="507"/>
      <c r="K111" s="507"/>
      <c r="L111" s="523"/>
      <c r="M111" s="507"/>
      <c r="N111" s="507"/>
      <c r="X111" s="161"/>
      <c r="Y111" s="161"/>
    </row>
    <row r="112" spans="1:25" hidden="1" x14ac:dyDescent="0.2">
      <c r="B112" s="592" t="s">
        <v>245</v>
      </c>
      <c r="C112" s="387"/>
      <c r="D112" s="578">
        <v>0.6</v>
      </c>
      <c r="E112" s="388">
        <f>(SUM(D24:E24))*$D$112</f>
        <v>0</v>
      </c>
      <c r="F112" s="388">
        <f t="shared" si="1"/>
        <v>0</v>
      </c>
      <c r="G112" s="388">
        <f t="shared" si="2"/>
        <v>0</v>
      </c>
      <c r="H112" s="388">
        <f t="shared" si="3"/>
        <v>0</v>
      </c>
      <c r="I112" s="388">
        <f t="shared" si="4"/>
        <v>0</v>
      </c>
      <c r="J112" s="507"/>
      <c r="K112" s="507"/>
      <c r="L112" s="523"/>
      <c r="M112" s="507"/>
      <c r="N112" s="507"/>
      <c r="X112" s="161"/>
      <c r="Y112" s="161"/>
    </row>
    <row r="113" spans="2:25" ht="15.75" hidden="1" thickBot="1" x14ac:dyDescent="0.25">
      <c r="B113" s="592" t="s">
        <v>44</v>
      </c>
      <c r="C113" s="387"/>
      <c r="D113" s="578">
        <v>21.2</v>
      </c>
      <c r="E113" s="388">
        <f>SUM(D25:E25)*$D$113</f>
        <v>0</v>
      </c>
      <c r="F113" s="388">
        <f>SUM(F25:G25)*D113</f>
        <v>0</v>
      </c>
      <c r="G113" s="388">
        <f>SUM(H25:I25)*D113</f>
        <v>0</v>
      </c>
      <c r="H113" s="388">
        <f>SUM(J25:K25)*D113</f>
        <v>0</v>
      </c>
      <c r="I113" s="388">
        <f>SUM(L25:M25)*D113</f>
        <v>0</v>
      </c>
      <c r="J113" s="507"/>
      <c r="K113" s="507"/>
      <c r="L113" s="523"/>
      <c r="M113" s="507"/>
      <c r="N113" s="507"/>
      <c r="X113" s="161"/>
      <c r="Y113" s="161"/>
    </row>
    <row r="114" spans="2:25" ht="15.75" hidden="1" thickBot="1" x14ac:dyDescent="0.25">
      <c r="B114" s="507"/>
      <c r="C114" s="507"/>
      <c r="D114" s="390" t="s">
        <v>283</v>
      </c>
      <c r="E114" s="558">
        <f>SUM(E105:E113)</f>
        <v>0</v>
      </c>
      <c r="F114" s="558">
        <f t="shared" ref="F114:I114" si="5">SUM(F105:F113)</f>
        <v>0</v>
      </c>
      <c r="G114" s="558">
        <f t="shared" si="5"/>
        <v>0</v>
      </c>
      <c r="H114" s="558">
        <f t="shared" si="5"/>
        <v>0</v>
      </c>
      <c r="I114" s="558">
        <f t="shared" si="5"/>
        <v>0</v>
      </c>
      <c r="J114" s="507"/>
      <c r="K114" s="507"/>
      <c r="L114" s="523"/>
      <c r="M114" s="507"/>
      <c r="N114" s="507"/>
      <c r="X114" s="161"/>
      <c r="Y114" s="161"/>
    </row>
    <row r="115" spans="2:25" hidden="1" x14ac:dyDescent="0.2">
      <c r="B115" s="507"/>
      <c r="C115" s="507"/>
      <c r="D115" s="507"/>
      <c r="E115" s="507"/>
      <c r="F115" s="507"/>
      <c r="G115" s="507"/>
      <c r="H115" s="507"/>
      <c r="I115" s="507"/>
      <c r="J115" s="507"/>
      <c r="K115" s="573"/>
      <c r="L115" s="507"/>
      <c r="M115" s="507"/>
      <c r="N115" s="523"/>
    </row>
    <row r="116" spans="2:25" hidden="1" x14ac:dyDescent="0.2">
      <c r="B116" s="507"/>
      <c r="C116" s="507"/>
      <c r="D116" s="507"/>
      <c r="E116" s="507"/>
      <c r="F116" s="507"/>
      <c r="G116" s="507"/>
      <c r="H116" s="507"/>
      <c r="I116" s="507"/>
      <c r="J116" s="507"/>
      <c r="K116" s="573"/>
      <c r="L116" s="507"/>
      <c r="M116" s="507"/>
      <c r="N116" s="507"/>
    </row>
    <row r="117" spans="2:25" hidden="1" x14ac:dyDescent="0.2">
      <c r="B117" s="507"/>
      <c r="C117" s="507"/>
      <c r="D117" s="507"/>
      <c r="E117" s="507"/>
      <c r="F117" s="507"/>
      <c r="G117" s="507"/>
      <c r="H117" s="507"/>
      <c r="I117" s="507"/>
      <c r="J117" s="507"/>
      <c r="K117" s="573"/>
      <c r="L117" s="507"/>
      <c r="M117" s="507"/>
      <c r="N117" s="507"/>
    </row>
    <row r="118" spans="2:25" hidden="1" x14ac:dyDescent="0.2">
      <c r="B118" s="507"/>
      <c r="C118" s="507"/>
      <c r="D118" s="507"/>
      <c r="E118" s="507"/>
      <c r="F118" s="507"/>
      <c r="G118" s="1096" t="s">
        <v>418</v>
      </c>
      <c r="H118" s="1096"/>
      <c r="I118" s="1096"/>
      <c r="J118" s="1096"/>
      <c r="K118" s="1096"/>
      <c r="L118" s="1096"/>
      <c r="M118" s="1096"/>
    </row>
    <row r="119" spans="2:25" ht="15.75" hidden="1" thickBot="1" x14ac:dyDescent="0.25">
      <c r="B119" s="507"/>
      <c r="C119" s="507"/>
      <c r="D119" s="507"/>
      <c r="E119" s="507"/>
      <c r="F119" s="507"/>
      <c r="G119" s="1096"/>
      <c r="H119" s="1096"/>
      <c r="I119" s="1096"/>
      <c r="J119" s="1096"/>
      <c r="K119" s="1096"/>
      <c r="L119" s="1096"/>
      <c r="M119" s="1096"/>
    </row>
    <row r="120" spans="2:25" ht="48" hidden="1" x14ac:dyDescent="0.2">
      <c r="B120" s="605" t="s">
        <v>215</v>
      </c>
      <c r="C120" s="606"/>
      <c r="D120" s="606"/>
      <c r="E120" s="607"/>
      <c r="F120" s="507"/>
      <c r="G120" s="586" t="s">
        <v>323</v>
      </c>
      <c r="H120" s="392" t="s">
        <v>419</v>
      </c>
      <c r="I120" s="288" t="s">
        <v>175</v>
      </c>
      <c r="J120" s="392" t="s">
        <v>420</v>
      </c>
      <c r="K120" s="288" t="s">
        <v>175</v>
      </c>
      <c r="L120" s="392" t="s">
        <v>421</v>
      </c>
      <c r="M120" s="288" t="s">
        <v>175</v>
      </c>
    </row>
    <row r="121" spans="2:25" hidden="1" x14ac:dyDescent="0.2">
      <c r="B121" s="599" t="s">
        <v>207</v>
      </c>
      <c r="C121" s="586" t="s">
        <v>217</v>
      </c>
      <c r="D121" s="898" t="s">
        <v>54</v>
      </c>
      <c r="E121" s="902"/>
      <c r="F121" s="507"/>
      <c r="G121" s="393">
        <f>(1000/I121)-10</f>
        <v>16.315789473684209</v>
      </c>
      <c r="H121" s="394">
        <f>('SITE DATA'!$F$26-(0.2*G121))^2/('SITE DATA'!$F$26+(0.8*G121))</f>
        <v>0.8157894736842104</v>
      </c>
      <c r="I121" s="395">
        <v>38</v>
      </c>
      <c r="J121" s="394">
        <f>('SITE DATA'!$F$27-(0.2*G121))^2/('SITE DATA'!$F$27+(0.8*G121))</f>
        <v>0.8157894736842104</v>
      </c>
      <c r="K121" s="395">
        <v>38</v>
      </c>
      <c r="L121" s="394">
        <f>('SITE DATA'!$F$28-(0.2*G121))^2/('SITE DATA'!$F$28+(0.8*G121))</f>
        <v>0.8157894736842104</v>
      </c>
      <c r="M121" s="395">
        <v>38</v>
      </c>
    </row>
    <row r="122" spans="2:25" hidden="1" x14ac:dyDescent="0.2">
      <c r="B122" s="600" t="s">
        <v>521</v>
      </c>
      <c r="C122" s="598">
        <v>0.35</v>
      </c>
      <c r="D122" s="1094">
        <v>0.85</v>
      </c>
      <c r="E122" s="1095"/>
      <c r="F122" s="507"/>
      <c r="G122" s="393">
        <f>(1000/I122)-10</f>
        <v>15.641025641025642</v>
      </c>
      <c r="H122" s="394">
        <f>('SITE DATA'!$F$26-(0.2*G122))^2/('SITE DATA'!$F$26+(0.8*G122))</f>
        <v>0.78205128205128227</v>
      </c>
      <c r="I122" s="395">
        <v>39</v>
      </c>
      <c r="J122" s="394">
        <f>('SITE DATA'!$F$27-(0.2*G122))^2/('SITE DATA'!$F$27+(0.8*G122))</f>
        <v>0.78205128205128227</v>
      </c>
      <c r="K122" s="395">
        <v>39</v>
      </c>
      <c r="L122" s="394">
        <f>('SITE DATA'!$F$28-(0.2*G122))^2/('SITE DATA'!$F$28+(0.8*G122))</f>
        <v>0.78205128205128227</v>
      </c>
      <c r="M122" s="395">
        <v>39</v>
      </c>
    </row>
    <row r="123" spans="2:25" hidden="1" x14ac:dyDescent="0.2">
      <c r="B123" s="600" t="s">
        <v>520</v>
      </c>
      <c r="C123" s="598">
        <v>0.4</v>
      </c>
      <c r="D123" s="1094">
        <v>0.85</v>
      </c>
      <c r="E123" s="1095"/>
      <c r="F123" s="507"/>
      <c r="G123" s="393">
        <f>(1000/I123)-10</f>
        <v>15</v>
      </c>
      <c r="H123" s="394">
        <f>('SITE DATA'!$F$26-(0.2*G123))^2/('SITE DATA'!$F$26+(0.8*G123))</f>
        <v>0.75</v>
      </c>
      <c r="I123" s="395">
        <v>40</v>
      </c>
      <c r="J123" s="394">
        <f>('SITE DATA'!$F$27-(0.2*G123))^2/('SITE DATA'!$F$27+(0.8*G123))</f>
        <v>0.75</v>
      </c>
      <c r="K123" s="395">
        <v>40</v>
      </c>
      <c r="L123" s="394">
        <f>('SITE DATA'!$F$28-(0.2*G123))^2/('SITE DATA'!$F$28+(0.8*G123))</f>
        <v>0.75</v>
      </c>
      <c r="M123" s="395">
        <v>40</v>
      </c>
    </row>
    <row r="124" spans="2:25" hidden="1" x14ac:dyDescent="0.2">
      <c r="B124" s="601" t="s">
        <v>208</v>
      </c>
      <c r="C124" s="598">
        <v>0.4</v>
      </c>
      <c r="D124" s="1094">
        <v>0.85</v>
      </c>
      <c r="E124" s="1095"/>
      <c r="F124" s="507"/>
      <c r="G124" s="393">
        <f>(1000/I124)-10</f>
        <v>14.390243902439025</v>
      </c>
      <c r="H124" s="394">
        <f>('SITE DATA'!$F$26-(0.2*G124))^2/('SITE DATA'!$F$26+(0.8*G124))</f>
        <v>0.71951219512195141</v>
      </c>
      <c r="I124" s="395">
        <v>41</v>
      </c>
      <c r="J124" s="394">
        <f>('SITE DATA'!$F$27-(0.2*G124))^2/('SITE DATA'!$F$27+(0.8*G124))</f>
        <v>0.71951219512195141</v>
      </c>
      <c r="K124" s="395">
        <v>41</v>
      </c>
      <c r="L124" s="394">
        <f>('SITE DATA'!$F$28-(0.2*G124))^2/('SITE DATA'!$F$28+(0.8*G124))</f>
        <v>0.71951219512195141</v>
      </c>
      <c r="M124" s="395">
        <v>41</v>
      </c>
    </row>
    <row r="125" spans="2:25" hidden="1" x14ac:dyDescent="0.2">
      <c r="B125" s="601" t="s">
        <v>51</v>
      </c>
      <c r="C125" s="598">
        <v>0.25</v>
      </c>
      <c r="D125" s="1094">
        <v>0.85</v>
      </c>
      <c r="E125" s="1095"/>
      <c r="F125" s="507"/>
      <c r="G125" s="393">
        <f>(1000/I125)-10</f>
        <v>13.80952380952381</v>
      </c>
      <c r="H125" s="394">
        <f>('SITE DATA'!$F$26-(0.2*G125))^2/('SITE DATA'!$F$26+(0.8*G125))</f>
        <v>0.69047619047619058</v>
      </c>
      <c r="I125" s="395">
        <v>42</v>
      </c>
      <c r="J125" s="394">
        <f>('SITE DATA'!$F$27-(0.2*G125))^2/('SITE DATA'!$F$27+(0.8*G125))</f>
        <v>0.69047619047619058</v>
      </c>
      <c r="K125" s="395">
        <v>42</v>
      </c>
      <c r="L125" s="394">
        <f>('SITE DATA'!$F$28-(0.2*G125))^2/('SITE DATA'!$F$28+(0.8*G125))</f>
        <v>0.69047619047619058</v>
      </c>
      <c r="M125" s="395">
        <v>42</v>
      </c>
    </row>
    <row r="126" spans="2:25" hidden="1" x14ac:dyDescent="0.2">
      <c r="B126" s="601" t="s">
        <v>209</v>
      </c>
      <c r="C126" s="598">
        <v>0.35</v>
      </c>
      <c r="D126" s="1094">
        <v>0.85</v>
      </c>
      <c r="E126" s="1095"/>
      <c r="F126" s="507"/>
      <c r="G126" s="393">
        <f t="shared" ref="G126:G181" si="6">(1000/I126)-10</f>
        <v>13.255813953488371</v>
      </c>
      <c r="H126" s="394">
        <f>('SITE DATA'!$F$26-(0.2*G126))^2/('SITE DATA'!$F$26+(0.8*G126))</f>
        <v>0.66279069767441856</v>
      </c>
      <c r="I126" s="395">
        <v>43</v>
      </c>
      <c r="J126" s="394">
        <f>('SITE DATA'!$F$27-(0.2*G126))^2/('SITE DATA'!$F$27+(0.8*G126))</f>
        <v>0.66279069767441856</v>
      </c>
      <c r="K126" s="395">
        <v>43</v>
      </c>
      <c r="L126" s="394">
        <f>('SITE DATA'!$F$28-(0.2*G126))^2/('SITE DATA'!$F$28+(0.8*G126))</f>
        <v>0.66279069767441856</v>
      </c>
      <c r="M126" s="395">
        <v>43</v>
      </c>
    </row>
    <row r="127" spans="2:25" hidden="1" x14ac:dyDescent="0.2">
      <c r="B127" s="601" t="s">
        <v>210</v>
      </c>
      <c r="C127" s="598">
        <v>0.2</v>
      </c>
      <c r="D127" s="1094">
        <v>0.35</v>
      </c>
      <c r="E127" s="1095"/>
      <c r="F127" s="507"/>
      <c r="G127" s="393">
        <f t="shared" si="6"/>
        <v>12.727272727272727</v>
      </c>
      <c r="H127" s="394">
        <f>('SITE DATA'!$F$26-(0.2*G127))^2/('SITE DATA'!$F$26+(0.8*G127))</f>
        <v>0.63636363636363635</v>
      </c>
      <c r="I127" s="395">
        <v>44</v>
      </c>
      <c r="J127" s="394">
        <f>('SITE DATA'!$F$27-(0.2*G127))^2/('SITE DATA'!$F$27+(0.8*G127))</f>
        <v>0.63636363636363635</v>
      </c>
      <c r="K127" s="395">
        <v>44</v>
      </c>
      <c r="L127" s="394">
        <f>('SITE DATA'!$F$28-(0.2*G127))^2/('SITE DATA'!$F$28+(0.8*G127))</f>
        <v>0.63636363636363635</v>
      </c>
      <c r="M127" s="395">
        <v>44</v>
      </c>
    </row>
    <row r="128" spans="2:25" hidden="1" x14ac:dyDescent="0.2">
      <c r="B128" s="601" t="s">
        <v>52</v>
      </c>
      <c r="C128" s="598">
        <v>0.2</v>
      </c>
      <c r="D128" s="1094">
        <v>0.35</v>
      </c>
      <c r="E128" s="1095"/>
      <c r="F128" s="507"/>
      <c r="G128" s="393">
        <f t="shared" si="6"/>
        <v>12.222222222222221</v>
      </c>
      <c r="H128" s="394">
        <f>('SITE DATA'!$F$26-(0.2*G128))^2/('SITE DATA'!$F$26+(0.8*G128))</f>
        <v>0.61111111111111116</v>
      </c>
      <c r="I128" s="395">
        <v>45</v>
      </c>
      <c r="J128" s="394">
        <f>('SITE DATA'!$F$27-(0.2*G128))^2/('SITE DATA'!$F$27+(0.8*G128))</f>
        <v>0.61111111111111116</v>
      </c>
      <c r="K128" s="395">
        <v>45</v>
      </c>
      <c r="L128" s="394">
        <f>('SITE DATA'!$F$28-(0.2*G128))^2/('SITE DATA'!$F$28+(0.8*G128))</f>
        <v>0.61111111111111116</v>
      </c>
      <c r="M128" s="395">
        <v>45</v>
      </c>
    </row>
    <row r="129" spans="2:13" hidden="1" x14ac:dyDescent="0.2">
      <c r="B129" s="601" t="s">
        <v>211</v>
      </c>
      <c r="C129" s="598">
        <v>0.3</v>
      </c>
      <c r="D129" s="1094">
        <v>0.6</v>
      </c>
      <c r="E129" s="1095"/>
      <c r="F129" s="507"/>
      <c r="G129" s="393">
        <f t="shared" si="6"/>
        <v>11.739130434782609</v>
      </c>
      <c r="H129" s="394">
        <f>('SITE DATA'!$F$26-(0.2*G129))^2/('SITE DATA'!$F$26+(0.8*G129))</f>
        <v>0.58695652173913049</v>
      </c>
      <c r="I129" s="395">
        <v>46</v>
      </c>
      <c r="J129" s="394">
        <f>('SITE DATA'!$F$27-(0.2*G129))^2/('SITE DATA'!$F$27+(0.8*G129))</f>
        <v>0.58695652173913049</v>
      </c>
      <c r="K129" s="395">
        <v>46</v>
      </c>
      <c r="L129" s="394">
        <f>('SITE DATA'!$F$28-(0.2*G129))^2/('SITE DATA'!$F$28+(0.8*G129))</f>
        <v>0.58695652173913049</v>
      </c>
      <c r="M129" s="395">
        <v>46</v>
      </c>
    </row>
    <row r="130" spans="2:13" hidden="1" x14ac:dyDescent="0.2">
      <c r="B130" s="601" t="s">
        <v>212</v>
      </c>
      <c r="C130" s="598">
        <v>0.3</v>
      </c>
      <c r="D130" s="1094">
        <v>0.85</v>
      </c>
      <c r="E130" s="1095"/>
      <c r="F130" s="507"/>
      <c r="G130" s="393">
        <f t="shared" si="6"/>
        <v>11.276595744680851</v>
      </c>
      <c r="H130" s="394">
        <f>('SITE DATA'!$F$26-(0.2*G130))^2/('SITE DATA'!$F$26+(0.8*G130))</f>
        <v>0.56382978723404253</v>
      </c>
      <c r="I130" s="395">
        <v>47</v>
      </c>
      <c r="J130" s="394">
        <f>('SITE DATA'!$F$27-(0.2*G130))^2/('SITE DATA'!$F$27+(0.8*G130))</f>
        <v>0.56382978723404253</v>
      </c>
      <c r="K130" s="395">
        <v>47</v>
      </c>
      <c r="L130" s="394">
        <f>('SITE DATA'!$F$28-(0.2*G130))^2/('SITE DATA'!$F$28+(0.8*G130))</f>
        <v>0.56382978723404253</v>
      </c>
      <c r="M130" s="395">
        <v>47</v>
      </c>
    </row>
    <row r="131" spans="2:13" hidden="1" x14ac:dyDescent="0.2">
      <c r="B131" s="601" t="s">
        <v>213</v>
      </c>
      <c r="C131" s="598">
        <v>0.1</v>
      </c>
      <c r="D131" s="1094">
        <v>0.5</v>
      </c>
      <c r="E131" s="1095"/>
      <c r="F131" s="507"/>
      <c r="G131" s="393">
        <f t="shared" si="6"/>
        <v>10.833333333333332</v>
      </c>
      <c r="H131" s="394">
        <f>('SITE DATA'!$F$26-(0.2*G131))^2/('SITE DATA'!$F$26+(0.8*G131))</f>
        <v>0.54166666666666663</v>
      </c>
      <c r="I131" s="395">
        <f>48</f>
        <v>48</v>
      </c>
      <c r="J131" s="394">
        <f>('SITE DATA'!$F$27-(0.2*G131))^2/('SITE DATA'!$F$27+(0.8*G131))</f>
        <v>0.54166666666666663</v>
      </c>
      <c r="K131" s="395">
        <f>48</f>
        <v>48</v>
      </c>
      <c r="L131" s="394">
        <f>('SITE DATA'!$F$28-(0.2*G131))^2/('SITE DATA'!$F$28+(0.8*G131))</f>
        <v>0.54166666666666663</v>
      </c>
      <c r="M131" s="395">
        <f>48</f>
        <v>48</v>
      </c>
    </row>
    <row r="132" spans="2:13" hidden="1" x14ac:dyDescent="0.2">
      <c r="B132" s="601" t="s">
        <v>53</v>
      </c>
      <c r="C132" s="598">
        <v>0</v>
      </c>
      <c r="D132" s="1094">
        <v>0</v>
      </c>
      <c r="E132" s="1095"/>
      <c r="F132" s="507"/>
      <c r="G132" s="393">
        <f t="shared" si="6"/>
        <v>10.408163265306122</v>
      </c>
      <c r="H132" s="394">
        <f>('SITE DATA'!$F$26-(0.2*G132))^2/('SITE DATA'!$F$26+(0.8*G132))</f>
        <v>0.52040816326530615</v>
      </c>
      <c r="I132" s="395">
        <f t="shared" ref="I132:I181" si="7">I131+1</f>
        <v>49</v>
      </c>
      <c r="J132" s="394">
        <f>('SITE DATA'!$F$27-(0.2*G132))^2/('SITE DATA'!$F$27+(0.8*G132))</f>
        <v>0.52040816326530615</v>
      </c>
      <c r="K132" s="395">
        <f t="shared" ref="K132:K181" si="8">K131+1</f>
        <v>49</v>
      </c>
      <c r="L132" s="394">
        <f>('SITE DATA'!$F$28-(0.2*G132))^2/('SITE DATA'!$F$28+(0.8*G132))</f>
        <v>0.52040816326530615</v>
      </c>
      <c r="M132" s="395">
        <f t="shared" ref="M132:M181" si="9">M131+1</f>
        <v>49</v>
      </c>
    </row>
    <row r="133" spans="2:13" hidden="1" x14ac:dyDescent="0.2">
      <c r="B133" s="601" t="s">
        <v>579</v>
      </c>
      <c r="C133" s="598">
        <v>0</v>
      </c>
      <c r="D133" s="1094">
        <v>0</v>
      </c>
      <c r="E133" s="1095"/>
      <c r="F133" s="507"/>
      <c r="G133" s="393">
        <f>(1000/I133)-10</f>
        <v>10</v>
      </c>
      <c r="H133" s="394">
        <f>('SITE DATA'!$F$26-(0.2*G133))^2/('SITE DATA'!$F$26+(0.8*G133))</f>
        <v>0.5</v>
      </c>
      <c r="I133" s="395">
        <f t="shared" si="7"/>
        <v>50</v>
      </c>
      <c r="J133" s="394">
        <f>('SITE DATA'!$F$27-(0.2*G133))^2/('SITE DATA'!$F$27+(0.8*G133))</f>
        <v>0.5</v>
      </c>
      <c r="K133" s="395">
        <f t="shared" si="8"/>
        <v>50</v>
      </c>
      <c r="L133" s="394">
        <f>('SITE DATA'!$F$28-(0.2*G133))^2/('SITE DATA'!$F$28+(0.8*G133))</f>
        <v>0.5</v>
      </c>
      <c r="M133" s="395">
        <f t="shared" si="9"/>
        <v>50</v>
      </c>
    </row>
    <row r="134" spans="2:13" ht="15.75" hidden="1" thickBot="1" x14ac:dyDescent="0.25">
      <c r="B134" s="602" t="s">
        <v>564</v>
      </c>
      <c r="C134" s="604">
        <f>IF(C13="Yes",G13,F134)</f>
        <v>1</v>
      </c>
      <c r="D134" s="1036" t="s">
        <v>563</v>
      </c>
      <c r="E134" s="1037"/>
      <c r="F134" s="616">
        <v>1</v>
      </c>
      <c r="G134" s="393">
        <f t="shared" si="6"/>
        <v>9.6078431372549034</v>
      </c>
      <c r="H134" s="394">
        <f>('SITE DATA'!$F$26-(0.2*G134))^2/('SITE DATA'!$F$26+(0.8*G134))</f>
        <v>0.48039215686274517</v>
      </c>
      <c r="I134" s="395">
        <f t="shared" si="7"/>
        <v>51</v>
      </c>
      <c r="J134" s="394">
        <f>('SITE DATA'!$F$27-(0.2*G134))^2/('SITE DATA'!$F$27+(0.8*G134))</f>
        <v>0.48039215686274517</v>
      </c>
      <c r="K134" s="395">
        <f t="shared" si="8"/>
        <v>51</v>
      </c>
      <c r="L134" s="394">
        <f>('SITE DATA'!$F$28-(0.2*G134))^2/('SITE DATA'!$F$28+(0.8*G134))</f>
        <v>0.48039215686274517</v>
      </c>
      <c r="M134" s="395">
        <f t="shared" si="9"/>
        <v>51</v>
      </c>
    </row>
    <row r="135" spans="2:13" hidden="1" x14ac:dyDescent="0.2">
      <c r="B135" s="514"/>
      <c r="C135" s="514"/>
      <c r="D135" s="507"/>
      <c r="E135" s="507"/>
      <c r="F135" s="507"/>
      <c r="G135" s="393">
        <f t="shared" si="6"/>
        <v>9.2307692307692299</v>
      </c>
      <c r="H135" s="394">
        <f>('SITE DATA'!$F$26-(0.2*G135))^2/('SITE DATA'!$F$26+(0.8*G135))</f>
        <v>0.46153846153846151</v>
      </c>
      <c r="I135" s="395">
        <f t="shared" si="7"/>
        <v>52</v>
      </c>
      <c r="J135" s="394">
        <f>('SITE DATA'!$F$27-(0.2*G135))^2/('SITE DATA'!$F$27+(0.8*G135))</f>
        <v>0.46153846153846151</v>
      </c>
      <c r="K135" s="395">
        <f t="shared" si="8"/>
        <v>52</v>
      </c>
      <c r="L135" s="394">
        <f>('SITE DATA'!$F$28-(0.2*G135))^2/('SITE DATA'!$F$28+(0.8*G135))</f>
        <v>0.46153846153846151</v>
      </c>
      <c r="M135" s="395">
        <f t="shared" si="9"/>
        <v>52</v>
      </c>
    </row>
    <row r="136" spans="2:13" hidden="1" x14ac:dyDescent="0.2">
      <c r="B136" s="514"/>
      <c r="C136" s="514"/>
      <c r="D136" s="507"/>
      <c r="E136" s="396"/>
      <c r="F136" s="507"/>
      <c r="G136" s="393">
        <f t="shared" si="6"/>
        <v>8.8679245283018879</v>
      </c>
      <c r="H136" s="394">
        <f>('SITE DATA'!$F$26-(0.2*G136))^2/('SITE DATA'!$F$26+(0.8*G136))</f>
        <v>0.44339622641509441</v>
      </c>
      <c r="I136" s="395">
        <f t="shared" si="7"/>
        <v>53</v>
      </c>
      <c r="J136" s="394">
        <f>('SITE DATA'!$F$27-(0.2*G136))^2/('SITE DATA'!$F$27+(0.8*G136))</f>
        <v>0.44339622641509441</v>
      </c>
      <c r="K136" s="395">
        <f t="shared" si="8"/>
        <v>53</v>
      </c>
      <c r="L136" s="394">
        <f>('SITE DATA'!$F$28-(0.2*G136))^2/('SITE DATA'!$F$28+(0.8*G136))</f>
        <v>0.44339622641509441</v>
      </c>
      <c r="M136" s="395">
        <f t="shared" si="9"/>
        <v>53</v>
      </c>
    </row>
    <row r="137" spans="2:13" hidden="1" x14ac:dyDescent="0.2">
      <c r="B137" s="507"/>
      <c r="C137" s="507"/>
      <c r="D137" s="507"/>
      <c r="E137" s="507"/>
      <c r="F137" s="507"/>
      <c r="G137" s="393">
        <f t="shared" si="6"/>
        <v>8.518518518518519</v>
      </c>
      <c r="H137" s="394">
        <f>('SITE DATA'!$F$26-(0.2*G137))^2/('SITE DATA'!$F$26+(0.8*G137))</f>
        <v>0.42592592592592599</v>
      </c>
      <c r="I137" s="395">
        <f t="shared" si="7"/>
        <v>54</v>
      </c>
      <c r="J137" s="394">
        <f>('SITE DATA'!$F$27-(0.2*G137))^2/('SITE DATA'!$F$27+(0.8*G137))</f>
        <v>0.42592592592592599</v>
      </c>
      <c r="K137" s="395">
        <f t="shared" si="8"/>
        <v>54</v>
      </c>
      <c r="L137" s="394">
        <f>('SITE DATA'!$F$28-(0.2*G137))^2/('SITE DATA'!$F$28+(0.8*G137))</f>
        <v>0.42592592592592599</v>
      </c>
      <c r="M137" s="395">
        <f t="shared" si="9"/>
        <v>54</v>
      </c>
    </row>
    <row r="138" spans="2:13" hidden="1" x14ac:dyDescent="0.2">
      <c r="B138" s="507"/>
      <c r="C138" s="507"/>
      <c r="D138" s="507"/>
      <c r="E138" s="507"/>
      <c r="F138" s="396"/>
      <c r="G138" s="393">
        <f t="shared" si="6"/>
        <v>8.1818181818181834</v>
      </c>
      <c r="H138" s="394">
        <f>('SITE DATA'!$F$26-(0.2*G138))^2/('SITE DATA'!$F$26+(0.8*G138))</f>
        <v>0.40909090909090912</v>
      </c>
      <c r="I138" s="395">
        <f t="shared" si="7"/>
        <v>55</v>
      </c>
      <c r="J138" s="394">
        <f>('SITE DATA'!$F$27-(0.2*G138))^2/('SITE DATA'!$F$27+(0.8*G138))</f>
        <v>0.40909090909090912</v>
      </c>
      <c r="K138" s="395">
        <f t="shared" si="8"/>
        <v>55</v>
      </c>
      <c r="L138" s="394">
        <f>('SITE DATA'!$F$28-(0.2*G138))^2/('SITE DATA'!$F$28+(0.8*G138))</f>
        <v>0.40909090909090912</v>
      </c>
      <c r="M138" s="395">
        <f t="shared" si="9"/>
        <v>55</v>
      </c>
    </row>
    <row r="139" spans="2:13" hidden="1" x14ac:dyDescent="0.2">
      <c r="B139" s="507"/>
      <c r="C139" s="507"/>
      <c r="D139" s="507"/>
      <c r="E139" s="507"/>
      <c r="F139" s="507"/>
      <c r="G139" s="393">
        <f t="shared" si="6"/>
        <v>7.8571428571428577</v>
      </c>
      <c r="H139" s="394">
        <f>('SITE DATA'!$F$26-(0.2*G139))^2/('SITE DATA'!$F$26+(0.8*G139))</f>
        <v>0.3928571428571429</v>
      </c>
      <c r="I139" s="395">
        <f t="shared" si="7"/>
        <v>56</v>
      </c>
      <c r="J139" s="394">
        <f>('SITE DATA'!$F$27-(0.2*G139))^2/('SITE DATA'!$F$27+(0.8*G139))</f>
        <v>0.3928571428571429</v>
      </c>
      <c r="K139" s="395">
        <f t="shared" si="8"/>
        <v>56</v>
      </c>
      <c r="L139" s="394">
        <f>('SITE DATA'!$F$28-(0.2*G139))^2/('SITE DATA'!$F$28+(0.8*G139))</f>
        <v>0.3928571428571429</v>
      </c>
      <c r="M139" s="395">
        <f t="shared" si="9"/>
        <v>56</v>
      </c>
    </row>
    <row r="140" spans="2:13" hidden="1" x14ac:dyDescent="0.2">
      <c r="B140" s="507"/>
      <c r="C140" s="507"/>
      <c r="D140" s="507"/>
      <c r="E140" s="507"/>
      <c r="F140" s="507"/>
      <c r="G140" s="393">
        <f t="shared" si="6"/>
        <v>7.5438596491228083</v>
      </c>
      <c r="H140" s="394">
        <f>('SITE DATA'!$F$26-(0.2*G140))^2/('SITE DATA'!$F$26+(0.8*G140))</f>
        <v>0.37719298245614041</v>
      </c>
      <c r="I140" s="395">
        <f t="shared" si="7"/>
        <v>57</v>
      </c>
      <c r="J140" s="394">
        <f>('SITE DATA'!$F$27-(0.2*G140))^2/('SITE DATA'!$F$27+(0.8*G140))</f>
        <v>0.37719298245614041</v>
      </c>
      <c r="K140" s="395">
        <f t="shared" si="8"/>
        <v>57</v>
      </c>
      <c r="L140" s="394">
        <f>('SITE DATA'!$F$28-(0.2*G140))^2/('SITE DATA'!$F$28+(0.8*G140))</f>
        <v>0.37719298245614041</v>
      </c>
      <c r="M140" s="395">
        <f t="shared" si="9"/>
        <v>57</v>
      </c>
    </row>
    <row r="141" spans="2:13" hidden="1" x14ac:dyDescent="0.2">
      <c r="B141" s="507"/>
      <c r="C141" s="507"/>
      <c r="D141" s="507"/>
      <c r="E141" s="507"/>
      <c r="F141" s="507"/>
      <c r="G141" s="393">
        <f t="shared" si="6"/>
        <v>7.2413793103448292</v>
      </c>
      <c r="H141" s="394">
        <f>('SITE DATA'!$F$26-(0.2*G141))^2/('SITE DATA'!$F$26+(0.8*G141))</f>
        <v>0.36206896551724144</v>
      </c>
      <c r="I141" s="395">
        <f t="shared" si="7"/>
        <v>58</v>
      </c>
      <c r="J141" s="394">
        <f>('SITE DATA'!$F$27-(0.2*G141))^2/('SITE DATA'!$F$27+(0.8*G141))</f>
        <v>0.36206896551724144</v>
      </c>
      <c r="K141" s="395">
        <f t="shared" si="8"/>
        <v>58</v>
      </c>
      <c r="L141" s="394">
        <f>('SITE DATA'!$F$28-(0.2*G141))^2/('SITE DATA'!$F$28+(0.8*G141))</f>
        <v>0.36206896551724144</v>
      </c>
      <c r="M141" s="395">
        <f t="shared" si="9"/>
        <v>58</v>
      </c>
    </row>
    <row r="142" spans="2:13" ht="15.75" hidden="1" thickBot="1" x14ac:dyDescent="0.25">
      <c r="B142" s="507"/>
      <c r="C142" s="507"/>
      <c r="D142" s="507"/>
      <c r="E142" s="507"/>
      <c r="F142" s="507"/>
      <c r="G142" s="393">
        <f t="shared" si="6"/>
        <v>6.9491525423728824</v>
      </c>
      <c r="H142" s="394">
        <f>('SITE DATA'!$F$26-(0.2*G142))^2/('SITE DATA'!$F$26+(0.8*G142))</f>
        <v>0.34745762711864414</v>
      </c>
      <c r="I142" s="395">
        <f t="shared" si="7"/>
        <v>59</v>
      </c>
      <c r="J142" s="394">
        <f>('SITE DATA'!$F$27-(0.2*G142))^2/('SITE DATA'!$F$27+(0.8*G142))</f>
        <v>0.34745762711864414</v>
      </c>
      <c r="K142" s="395">
        <f t="shared" si="8"/>
        <v>59</v>
      </c>
      <c r="L142" s="394">
        <f>('SITE DATA'!$F$28-(0.2*G142))^2/('SITE DATA'!$F$28+(0.8*G142))</f>
        <v>0.34745762711864414</v>
      </c>
      <c r="M142" s="395">
        <f t="shared" si="9"/>
        <v>59</v>
      </c>
    </row>
    <row r="143" spans="2:13" ht="16.5" hidden="1" thickBot="1" x14ac:dyDescent="0.3">
      <c r="B143" s="612" t="s">
        <v>532</v>
      </c>
      <c r="C143" s="543"/>
      <c r="D143" s="544"/>
      <c r="E143" s="507"/>
      <c r="F143" s="507"/>
      <c r="G143" s="393">
        <f t="shared" si="6"/>
        <v>6.6666666666666679</v>
      </c>
      <c r="H143" s="394">
        <f>('SITE DATA'!$F$26-(0.2*G143))^2/('SITE DATA'!$F$26+(0.8*G143))</f>
        <v>0.33333333333333343</v>
      </c>
      <c r="I143" s="395">
        <f t="shared" si="7"/>
        <v>60</v>
      </c>
      <c r="J143" s="394">
        <f>('SITE DATA'!$F$27-(0.2*G143))^2/('SITE DATA'!$F$27+(0.8*G143))</f>
        <v>0.33333333333333343</v>
      </c>
      <c r="K143" s="395">
        <f t="shared" si="8"/>
        <v>60</v>
      </c>
      <c r="L143" s="394">
        <f>('SITE DATA'!$F$28-(0.2*G143))^2/('SITE DATA'!$F$28+(0.8*G143))</f>
        <v>0.33333333333333343</v>
      </c>
      <c r="M143" s="395">
        <f t="shared" si="9"/>
        <v>60</v>
      </c>
    </row>
    <row r="144" spans="2:13" hidden="1" x14ac:dyDescent="0.2">
      <c r="B144" s="530"/>
      <c r="C144" s="512"/>
      <c r="D144" s="522"/>
      <c r="E144" s="507"/>
      <c r="F144" s="507"/>
      <c r="G144" s="393">
        <f t="shared" si="6"/>
        <v>6.3934426229508183</v>
      </c>
      <c r="H144" s="394">
        <f>('SITE DATA'!$F$26-(0.2*G144))^2/('SITE DATA'!$F$26+(0.8*G144))</f>
        <v>0.31967213114754095</v>
      </c>
      <c r="I144" s="395">
        <f t="shared" si="7"/>
        <v>61</v>
      </c>
      <c r="J144" s="394">
        <f>('SITE DATA'!$F$27-(0.2*G144))^2/('SITE DATA'!$F$27+(0.8*G144))</f>
        <v>0.31967213114754095</v>
      </c>
      <c r="K144" s="395">
        <f t="shared" si="8"/>
        <v>61</v>
      </c>
      <c r="L144" s="394">
        <f>('SITE DATA'!$F$28-(0.2*G144))^2/('SITE DATA'!$F$28+(0.8*G144))</f>
        <v>0.31967213114754095</v>
      </c>
      <c r="M144" s="395">
        <f t="shared" si="9"/>
        <v>61</v>
      </c>
    </row>
    <row r="145" spans="2:13" ht="19.5" hidden="1" x14ac:dyDescent="0.35">
      <c r="B145" s="509" t="s">
        <v>534</v>
      </c>
      <c r="C145" s="506"/>
      <c r="D145" s="513"/>
      <c r="E145" s="507"/>
      <c r="F145" s="507"/>
      <c r="G145" s="393">
        <f t="shared" si="6"/>
        <v>6.129032258064516</v>
      </c>
      <c r="H145" s="394">
        <f>('SITE DATA'!$F$26-(0.2*G145))^2/('SITE DATA'!$F$26+(0.8*G145))</f>
        <v>0.30645161290322581</v>
      </c>
      <c r="I145" s="395">
        <f t="shared" si="7"/>
        <v>62</v>
      </c>
      <c r="J145" s="394">
        <f>('SITE DATA'!$F$27-(0.2*G145))^2/('SITE DATA'!$F$27+(0.8*G145))</f>
        <v>0.30645161290322581</v>
      </c>
      <c r="K145" s="395">
        <f t="shared" si="8"/>
        <v>62</v>
      </c>
      <c r="L145" s="394">
        <f>('SITE DATA'!$F$28-(0.2*G145))^2/('SITE DATA'!$F$28+(0.8*G145))</f>
        <v>0.30645161290322581</v>
      </c>
      <c r="M145" s="395">
        <f t="shared" si="9"/>
        <v>62</v>
      </c>
    </row>
    <row r="146" spans="2:13" hidden="1" x14ac:dyDescent="0.2">
      <c r="B146" s="509" t="s">
        <v>535</v>
      </c>
      <c r="C146" s="506"/>
      <c r="D146" s="513"/>
      <c r="E146" s="507"/>
      <c r="F146" s="507"/>
      <c r="G146" s="393">
        <f t="shared" si="6"/>
        <v>5.8730158730158735</v>
      </c>
      <c r="H146" s="394">
        <f>('SITE DATA'!$F$26-(0.2*G146))^2/('SITE DATA'!$F$26+(0.8*G146))</f>
        <v>0.29365079365079366</v>
      </c>
      <c r="I146" s="395">
        <f t="shared" si="7"/>
        <v>63</v>
      </c>
      <c r="J146" s="394">
        <f>('SITE DATA'!$F$27-(0.2*G146))^2/('SITE DATA'!$F$27+(0.8*G146))</f>
        <v>0.29365079365079366</v>
      </c>
      <c r="K146" s="395">
        <f t="shared" si="8"/>
        <v>63</v>
      </c>
      <c r="L146" s="394">
        <f>('SITE DATA'!$F$28-(0.2*G146))^2/('SITE DATA'!$F$28+(0.8*G146))</f>
        <v>0.29365079365079366</v>
      </c>
      <c r="M146" s="395">
        <f t="shared" si="9"/>
        <v>63</v>
      </c>
    </row>
    <row r="147" spans="2:13" hidden="1" x14ac:dyDescent="0.2">
      <c r="B147" s="509" t="s">
        <v>539</v>
      </c>
      <c r="C147" s="506"/>
      <c r="D147" s="513"/>
      <c r="E147" s="507"/>
      <c r="F147" s="507"/>
      <c r="G147" s="393">
        <f t="shared" si="6"/>
        <v>5.625</v>
      </c>
      <c r="H147" s="394">
        <f>('SITE DATA'!$F$26-(0.2*G147))^2/('SITE DATA'!$F$26+(0.8*G147))</f>
        <v>0.28125</v>
      </c>
      <c r="I147" s="395">
        <f t="shared" si="7"/>
        <v>64</v>
      </c>
      <c r="J147" s="394">
        <f>('SITE DATA'!$F$27-(0.2*G147))^2/('SITE DATA'!$F$27+(0.8*G147))</f>
        <v>0.28125</v>
      </c>
      <c r="K147" s="395">
        <f t="shared" si="8"/>
        <v>64</v>
      </c>
      <c r="L147" s="394">
        <f>('SITE DATA'!$F$28-(0.2*G147))^2/('SITE DATA'!$F$28+(0.8*G147))</f>
        <v>0.28125</v>
      </c>
      <c r="M147" s="395">
        <f t="shared" si="9"/>
        <v>64</v>
      </c>
    </row>
    <row r="148" spans="2:13" ht="19.5" hidden="1" x14ac:dyDescent="0.35">
      <c r="B148" s="509" t="s">
        <v>541</v>
      </c>
      <c r="C148" s="506"/>
      <c r="D148" s="513"/>
      <c r="E148" s="507"/>
      <c r="F148" s="507"/>
      <c r="G148" s="393">
        <f t="shared" si="6"/>
        <v>5.384615384615385</v>
      </c>
      <c r="H148" s="394">
        <f>('SITE DATA'!$F$26-(0.2*G148))^2/('SITE DATA'!$F$26+(0.8*G148))</f>
        <v>0.26923076923076927</v>
      </c>
      <c r="I148" s="395">
        <f t="shared" si="7"/>
        <v>65</v>
      </c>
      <c r="J148" s="394">
        <f>('SITE DATA'!$F$27-(0.2*G148))^2/('SITE DATA'!$F$27+(0.8*G148))</f>
        <v>0.26923076923076927</v>
      </c>
      <c r="K148" s="395">
        <f t="shared" si="8"/>
        <v>65</v>
      </c>
      <c r="L148" s="394">
        <f>('SITE DATA'!$F$28-(0.2*G148))^2/('SITE DATA'!$F$28+(0.8*G148))</f>
        <v>0.26923076923076927</v>
      </c>
      <c r="M148" s="395">
        <f t="shared" si="9"/>
        <v>65</v>
      </c>
    </row>
    <row r="149" spans="2:13" hidden="1" x14ac:dyDescent="0.2">
      <c r="B149" s="538"/>
      <c r="C149" s="511" t="s">
        <v>543</v>
      </c>
      <c r="D149" s="613" t="e">
        <f>(SUM(D25:E25))/SUM(D17:M25)</f>
        <v>#DIV/0!</v>
      </c>
      <c r="E149" s="507"/>
      <c r="F149" s="507"/>
      <c r="G149" s="393">
        <f t="shared" si="6"/>
        <v>5.1515151515151523</v>
      </c>
      <c r="H149" s="394">
        <f>('SITE DATA'!$F$26-(0.2*G149))^2/('SITE DATA'!$F$26+(0.8*G149))</f>
        <v>0.25757575757575762</v>
      </c>
      <c r="I149" s="395">
        <f t="shared" si="7"/>
        <v>66</v>
      </c>
      <c r="J149" s="394">
        <f>('SITE DATA'!$F$27-(0.2*G149))^2/('SITE DATA'!$F$27+(0.8*G149))</f>
        <v>0.25757575757575762</v>
      </c>
      <c r="K149" s="395">
        <f t="shared" si="8"/>
        <v>66</v>
      </c>
      <c r="L149" s="394">
        <f>('SITE DATA'!$F$28-(0.2*G149))^2/('SITE DATA'!$F$28+(0.8*G149))</f>
        <v>0.25757575757575762</v>
      </c>
      <c r="M149" s="395">
        <f t="shared" si="9"/>
        <v>66</v>
      </c>
    </row>
    <row r="150" spans="2:13" ht="24" hidden="1" thickBot="1" x14ac:dyDescent="0.4">
      <c r="B150" s="540" t="s">
        <v>569</v>
      </c>
      <c r="C150" s="511" t="s">
        <v>547</v>
      </c>
      <c r="D150" s="539" t="e">
        <f>0.05+(0.9*D149)</f>
        <v>#DIV/0!</v>
      </c>
      <c r="E150" s="507" t="s">
        <v>726</v>
      </c>
      <c r="F150" s="507"/>
      <c r="G150" s="393">
        <f t="shared" si="6"/>
        <v>4.9253731343283587</v>
      </c>
      <c r="H150" s="394">
        <f>('SITE DATA'!$F$26-(0.2*G150))^2/('SITE DATA'!$F$26+(0.8*G150))</f>
        <v>0.24626865671641796</v>
      </c>
      <c r="I150" s="395">
        <f t="shared" si="7"/>
        <v>67</v>
      </c>
      <c r="J150" s="394">
        <f>('SITE DATA'!$F$27-(0.2*G150))^2/('SITE DATA'!$F$27+(0.8*G150))</f>
        <v>0.24626865671641796</v>
      </c>
      <c r="K150" s="395">
        <f t="shared" si="8"/>
        <v>67</v>
      </c>
      <c r="L150" s="394">
        <f>('SITE DATA'!$F$28-(0.2*G150))^2/('SITE DATA'!$F$28+(0.8*G150))</f>
        <v>0.24626865671641796</v>
      </c>
      <c r="M150" s="395">
        <f t="shared" si="9"/>
        <v>67</v>
      </c>
    </row>
    <row r="151" spans="2:13" ht="24" hidden="1" thickBot="1" x14ac:dyDescent="0.4">
      <c r="B151" s="540"/>
      <c r="C151" s="534" t="s">
        <v>549</v>
      </c>
      <c r="D151" s="535" t="e">
        <f>3630*1*D150*SUM(D17:E25)</f>
        <v>#DIV/0!</v>
      </c>
      <c r="E151" s="615" t="e">
        <f>D151</f>
        <v>#DIV/0!</v>
      </c>
      <c r="F151" s="507"/>
      <c r="G151" s="393">
        <f t="shared" si="6"/>
        <v>4.7058823529411757</v>
      </c>
      <c r="H151" s="394">
        <f>('SITE DATA'!$F$26-(0.2*G151))^2/('SITE DATA'!$F$26+(0.8*G151))</f>
        <v>0.23529411764705879</v>
      </c>
      <c r="I151" s="395">
        <f t="shared" si="7"/>
        <v>68</v>
      </c>
      <c r="J151" s="394">
        <f>('SITE DATA'!$F$27-(0.2*G151))^2/('SITE DATA'!$F$27+(0.8*G151))</f>
        <v>0.23529411764705879</v>
      </c>
      <c r="K151" s="395">
        <f t="shared" si="8"/>
        <v>68</v>
      </c>
      <c r="L151" s="394">
        <f>('SITE DATA'!$F$28-(0.2*G151))^2/('SITE DATA'!$F$28+(0.8*G151))</f>
        <v>0.23529411764705879</v>
      </c>
      <c r="M151" s="395">
        <f t="shared" si="9"/>
        <v>68</v>
      </c>
    </row>
    <row r="152" spans="2:13" ht="15.75" hidden="1" thickBot="1" x14ac:dyDescent="0.25">
      <c r="B152" s="541"/>
      <c r="C152" s="537"/>
      <c r="D152" s="531"/>
      <c r="E152" s="507"/>
      <c r="F152" s="507"/>
      <c r="G152" s="393">
        <f t="shared" si="6"/>
        <v>4.4927536231884062</v>
      </c>
      <c r="H152" s="394">
        <f>('SITE DATA'!$F$26-(0.2*G152))^2/('SITE DATA'!$F$26+(0.8*G152))</f>
        <v>0.22463768115942032</v>
      </c>
      <c r="I152" s="395">
        <f t="shared" si="7"/>
        <v>69</v>
      </c>
      <c r="J152" s="394">
        <f>('SITE DATA'!$F$27-(0.2*G152))^2/('SITE DATA'!$F$27+(0.8*G152))</f>
        <v>0.22463768115942032</v>
      </c>
      <c r="K152" s="395">
        <f t="shared" si="8"/>
        <v>69</v>
      </c>
      <c r="L152" s="394">
        <f>('SITE DATA'!$F$28-(0.2*G152))^2/('SITE DATA'!$F$28+(0.8*G152))</f>
        <v>0.22463768115942032</v>
      </c>
      <c r="M152" s="395">
        <f t="shared" si="9"/>
        <v>69</v>
      </c>
    </row>
    <row r="153" spans="2:13" hidden="1" x14ac:dyDescent="0.2">
      <c r="B153" s="538"/>
      <c r="C153" s="511" t="s">
        <v>543</v>
      </c>
      <c r="D153" s="613" t="e">
        <f>(SUM(F25:G25))/SUM(D17:M25)</f>
        <v>#DIV/0!</v>
      </c>
      <c r="E153" s="507"/>
      <c r="F153" s="507"/>
      <c r="G153" s="393">
        <f t="shared" si="6"/>
        <v>4.2857142857142865</v>
      </c>
      <c r="H153" s="394">
        <f>('SITE DATA'!$F$26-(0.2*G153))^2/('SITE DATA'!$F$26+(0.8*G153))</f>
        <v>0.21428571428571433</v>
      </c>
      <c r="I153" s="395">
        <f t="shared" si="7"/>
        <v>70</v>
      </c>
      <c r="J153" s="394">
        <f>('SITE DATA'!$F$27-(0.2*G153))^2/('SITE DATA'!$F$27+(0.8*G153))</f>
        <v>0.21428571428571433</v>
      </c>
      <c r="K153" s="395">
        <f t="shared" si="8"/>
        <v>70</v>
      </c>
      <c r="L153" s="394">
        <f>('SITE DATA'!$F$28-(0.2*G153))^2/('SITE DATA'!$F$28+(0.8*G153))</f>
        <v>0.21428571428571433</v>
      </c>
      <c r="M153" s="395">
        <f t="shared" si="9"/>
        <v>70</v>
      </c>
    </row>
    <row r="154" spans="2:13" ht="24" hidden="1" thickBot="1" x14ac:dyDescent="0.4">
      <c r="B154" s="540" t="s">
        <v>570</v>
      </c>
      <c r="C154" s="511" t="s">
        <v>547</v>
      </c>
      <c r="D154" s="539" t="e">
        <f>0.05+(0.9*D153)</f>
        <v>#DIV/0!</v>
      </c>
      <c r="E154" s="507"/>
      <c r="F154" s="507"/>
      <c r="G154" s="393">
        <f t="shared" si="6"/>
        <v>4.0845070422535219</v>
      </c>
      <c r="H154" s="394">
        <f>('SITE DATA'!$F$26-(0.2*G154))^2/('SITE DATA'!$F$26+(0.8*G154))</f>
        <v>0.20422535211267612</v>
      </c>
      <c r="I154" s="395">
        <f t="shared" si="7"/>
        <v>71</v>
      </c>
      <c r="J154" s="394">
        <f>('SITE DATA'!$F$27-(0.2*G154))^2/('SITE DATA'!$F$27+(0.8*G154))</f>
        <v>0.20422535211267612</v>
      </c>
      <c r="K154" s="395">
        <f t="shared" si="8"/>
        <v>71</v>
      </c>
      <c r="L154" s="394">
        <f>('SITE DATA'!$F$28-(0.2*G154))^2/('SITE DATA'!$F$28+(0.8*G154))</f>
        <v>0.20422535211267612</v>
      </c>
      <c r="M154" s="395">
        <f t="shared" si="9"/>
        <v>71</v>
      </c>
    </row>
    <row r="155" spans="2:13" ht="24" hidden="1" thickBot="1" x14ac:dyDescent="0.4">
      <c r="B155" s="540"/>
      <c r="C155" s="534" t="s">
        <v>549</v>
      </c>
      <c r="D155" s="535" t="e">
        <f>3630*1*D154*SUM(F17:G25)</f>
        <v>#DIV/0!</v>
      </c>
      <c r="E155" s="615" t="e">
        <f>D155</f>
        <v>#DIV/0!</v>
      </c>
      <c r="F155" s="507"/>
      <c r="G155" s="393">
        <f t="shared" si="6"/>
        <v>3.8888888888888893</v>
      </c>
      <c r="H155" s="394">
        <f>('SITE DATA'!$F$26-(0.2*G155))^2/('SITE DATA'!$F$26+(0.8*G155))</f>
        <v>0.1944444444444445</v>
      </c>
      <c r="I155" s="395">
        <f t="shared" si="7"/>
        <v>72</v>
      </c>
      <c r="J155" s="394">
        <f>('SITE DATA'!$F$27-(0.2*G155))^2/('SITE DATA'!$F$27+(0.8*G155))</f>
        <v>0.1944444444444445</v>
      </c>
      <c r="K155" s="395">
        <f t="shared" si="8"/>
        <v>72</v>
      </c>
      <c r="L155" s="394">
        <f>('SITE DATA'!$F$28-(0.2*G155))^2/('SITE DATA'!$F$28+(0.8*G155))</f>
        <v>0.1944444444444445</v>
      </c>
      <c r="M155" s="395">
        <f t="shared" si="9"/>
        <v>72</v>
      </c>
    </row>
    <row r="156" spans="2:13" ht="15.75" hidden="1" thickBot="1" x14ac:dyDescent="0.25">
      <c r="B156" s="541"/>
      <c r="C156" s="537"/>
      <c r="D156" s="531"/>
      <c r="E156" s="507"/>
      <c r="F156" s="507"/>
      <c r="G156" s="393">
        <f t="shared" si="6"/>
        <v>3.6986301369863011</v>
      </c>
      <c r="H156" s="394">
        <f>('SITE DATA'!$F$26-(0.2*G156))^2/('SITE DATA'!$F$26+(0.8*G156))</f>
        <v>0.18493150684931509</v>
      </c>
      <c r="I156" s="395">
        <f t="shared" si="7"/>
        <v>73</v>
      </c>
      <c r="J156" s="394">
        <f>('SITE DATA'!$F$27-(0.2*G156))^2/('SITE DATA'!$F$27+(0.8*G156))</f>
        <v>0.18493150684931509</v>
      </c>
      <c r="K156" s="395">
        <f t="shared" si="8"/>
        <v>73</v>
      </c>
      <c r="L156" s="394">
        <f>('SITE DATA'!$F$28-(0.2*G156))^2/('SITE DATA'!$F$28+(0.8*G156))</f>
        <v>0.18493150684931509</v>
      </c>
      <c r="M156" s="395">
        <f t="shared" si="9"/>
        <v>73</v>
      </c>
    </row>
    <row r="157" spans="2:13" hidden="1" x14ac:dyDescent="0.2">
      <c r="B157" s="538"/>
      <c r="C157" s="511" t="s">
        <v>543</v>
      </c>
      <c r="D157" s="613" t="e">
        <f>(SUM(H25:I25))/SUM(D17:M25)</f>
        <v>#DIV/0!</v>
      </c>
      <c r="E157" s="507"/>
      <c r="F157" s="507"/>
      <c r="G157" s="393">
        <f t="shared" si="6"/>
        <v>3.513513513513514</v>
      </c>
      <c r="H157" s="394">
        <f>('SITE DATA'!$F$26-(0.2*G157))^2/('SITE DATA'!$F$26+(0.8*G157))</f>
        <v>0.17567567567567571</v>
      </c>
      <c r="I157" s="395">
        <f t="shared" si="7"/>
        <v>74</v>
      </c>
      <c r="J157" s="394">
        <f>('SITE DATA'!$F$27-(0.2*G157))^2/('SITE DATA'!$F$27+(0.8*G157))</f>
        <v>0.17567567567567571</v>
      </c>
      <c r="K157" s="395">
        <f t="shared" si="8"/>
        <v>74</v>
      </c>
      <c r="L157" s="394">
        <f>('SITE DATA'!$F$28-(0.2*G157))^2/('SITE DATA'!$F$28+(0.8*G157))</f>
        <v>0.17567567567567571</v>
      </c>
      <c r="M157" s="395">
        <f t="shared" si="9"/>
        <v>74</v>
      </c>
    </row>
    <row r="158" spans="2:13" ht="24" hidden="1" thickBot="1" x14ac:dyDescent="0.4">
      <c r="B158" s="540" t="s">
        <v>571</v>
      </c>
      <c r="C158" s="511" t="s">
        <v>547</v>
      </c>
      <c r="D158" s="539" t="e">
        <f>0.05+(0.9*D157)</f>
        <v>#DIV/0!</v>
      </c>
      <c r="E158" s="507"/>
      <c r="F158" s="507"/>
      <c r="G158" s="393">
        <f t="shared" si="6"/>
        <v>3.3333333333333339</v>
      </c>
      <c r="H158" s="394">
        <f>('SITE DATA'!$F$26-(0.2*G158))^2/('SITE DATA'!$F$26+(0.8*G158))</f>
        <v>0.16666666666666671</v>
      </c>
      <c r="I158" s="395">
        <f t="shared" si="7"/>
        <v>75</v>
      </c>
      <c r="J158" s="394">
        <f>('SITE DATA'!$F$27-(0.2*G158))^2/('SITE DATA'!$F$27+(0.8*G158))</f>
        <v>0.16666666666666671</v>
      </c>
      <c r="K158" s="395">
        <f t="shared" si="8"/>
        <v>75</v>
      </c>
      <c r="L158" s="394">
        <f>('SITE DATA'!$F$28-(0.2*G158))^2/('SITE DATA'!$F$28+(0.8*G158))</f>
        <v>0.16666666666666671</v>
      </c>
      <c r="M158" s="395">
        <f t="shared" si="9"/>
        <v>75</v>
      </c>
    </row>
    <row r="159" spans="2:13" ht="24" hidden="1" thickBot="1" x14ac:dyDescent="0.4">
      <c r="B159" s="540"/>
      <c r="C159" s="534" t="s">
        <v>549</v>
      </c>
      <c r="D159" s="535" t="e">
        <f>3630*1*D158*SUM(H17:I25)</f>
        <v>#DIV/0!</v>
      </c>
      <c r="E159" s="615" t="e">
        <f>D159</f>
        <v>#DIV/0!</v>
      </c>
      <c r="F159" s="507"/>
      <c r="G159" s="393">
        <f t="shared" si="6"/>
        <v>3.1578947368421044</v>
      </c>
      <c r="H159" s="394">
        <f>('SITE DATA'!$F$26-(0.2*G159))^2/('SITE DATA'!$F$26+(0.8*G159))</f>
        <v>0.15789473684210523</v>
      </c>
      <c r="I159" s="586">
        <f t="shared" si="7"/>
        <v>76</v>
      </c>
      <c r="J159" s="394">
        <f>('SITE DATA'!$F$27-(0.2*G159))^2/('SITE DATA'!$F$27+(0.8*G159))</f>
        <v>0.15789473684210523</v>
      </c>
      <c r="K159" s="586">
        <f t="shared" si="8"/>
        <v>76</v>
      </c>
      <c r="L159" s="394">
        <f>('SITE DATA'!$F$28-(0.2*G159))^2/('SITE DATA'!$F$28+(0.8*G159))</f>
        <v>0.15789473684210523</v>
      </c>
      <c r="M159" s="586">
        <f t="shared" si="9"/>
        <v>76</v>
      </c>
    </row>
    <row r="160" spans="2:13" ht="15.75" hidden="1" thickBot="1" x14ac:dyDescent="0.25">
      <c r="B160" s="541"/>
      <c r="C160" s="537"/>
      <c r="D160" s="531"/>
      <c r="E160" s="507"/>
      <c r="F160" s="507"/>
      <c r="G160" s="393">
        <f t="shared" si="6"/>
        <v>2.9870129870129869</v>
      </c>
      <c r="H160" s="394">
        <f>('SITE DATA'!$F$26-(0.2*G160))^2/('SITE DATA'!$F$26+(0.8*G160))</f>
        <v>0.14935064935064934</v>
      </c>
      <c r="I160" s="586">
        <f t="shared" si="7"/>
        <v>77</v>
      </c>
      <c r="J160" s="394">
        <f>('SITE DATA'!$F$27-(0.2*G160))^2/('SITE DATA'!$F$27+(0.8*G160))</f>
        <v>0.14935064935064934</v>
      </c>
      <c r="K160" s="586">
        <f t="shared" si="8"/>
        <v>77</v>
      </c>
      <c r="L160" s="394">
        <f>('SITE DATA'!$F$28-(0.2*G160))^2/('SITE DATA'!$F$28+(0.8*G160))</f>
        <v>0.14935064935064934</v>
      </c>
      <c r="M160" s="586">
        <f t="shared" si="9"/>
        <v>77</v>
      </c>
    </row>
    <row r="161" spans="2:13" hidden="1" x14ac:dyDescent="0.2">
      <c r="B161" s="538"/>
      <c r="C161" s="511" t="s">
        <v>543</v>
      </c>
      <c r="D161" s="613" t="e">
        <f>(SUM(J25:K25))/SUM(D17:M25)</f>
        <v>#DIV/0!</v>
      </c>
      <c r="E161" s="507"/>
      <c r="F161" s="507"/>
      <c r="G161" s="393">
        <f t="shared" si="6"/>
        <v>2.8205128205128212</v>
      </c>
      <c r="H161" s="394">
        <f>('SITE DATA'!$F$26-(0.2*G161))^2/('SITE DATA'!$F$26+(0.8*G161))</f>
        <v>0.14102564102564105</v>
      </c>
      <c r="I161" s="586">
        <f t="shared" si="7"/>
        <v>78</v>
      </c>
      <c r="J161" s="394">
        <f>('SITE DATA'!$F$27-(0.2*G161))^2/('SITE DATA'!$F$27+(0.8*G161))</f>
        <v>0.14102564102564105</v>
      </c>
      <c r="K161" s="586">
        <f t="shared" si="8"/>
        <v>78</v>
      </c>
      <c r="L161" s="394">
        <f>('SITE DATA'!$F$28-(0.2*G161))^2/('SITE DATA'!$F$28+(0.8*G161))</f>
        <v>0.14102564102564105</v>
      </c>
      <c r="M161" s="586">
        <f t="shared" si="9"/>
        <v>78</v>
      </c>
    </row>
    <row r="162" spans="2:13" ht="24" hidden="1" thickBot="1" x14ac:dyDescent="0.4">
      <c r="B162" s="540" t="s">
        <v>572</v>
      </c>
      <c r="C162" s="511" t="s">
        <v>547</v>
      </c>
      <c r="D162" s="539" t="e">
        <f>0.05+(0.9*D161)</f>
        <v>#DIV/0!</v>
      </c>
      <c r="E162" s="507"/>
      <c r="F162" s="507"/>
      <c r="G162" s="393">
        <f t="shared" si="6"/>
        <v>2.6582278481012658</v>
      </c>
      <c r="H162" s="394">
        <f>('SITE DATA'!$F$26-(0.2*G162))^2/('SITE DATA'!$F$26+(0.8*G162))</f>
        <v>0.13291139240506331</v>
      </c>
      <c r="I162" s="586">
        <f t="shared" si="7"/>
        <v>79</v>
      </c>
      <c r="J162" s="394">
        <f>('SITE DATA'!$F$27-(0.2*G162))^2/('SITE DATA'!$F$27+(0.8*G162))</f>
        <v>0.13291139240506331</v>
      </c>
      <c r="K162" s="586">
        <f t="shared" si="8"/>
        <v>79</v>
      </c>
      <c r="L162" s="394">
        <f>('SITE DATA'!$F$28-(0.2*G162))^2/('SITE DATA'!$F$28+(0.8*G162))</f>
        <v>0.13291139240506331</v>
      </c>
      <c r="M162" s="586">
        <f t="shared" si="9"/>
        <v>79</v>
      </c>
    </row>
    <row r="163" spans="2:13" ht="24" hidden="1" thickBot="1" x14ac:dyDescent="0.4">
      <c r="B163" s="540"/>
      <c r="C163" s="534" t="s">
        <v>549</v>
      </c>
      <c r="D163" s="535" t="e">
        <f>3630*1*D162*SUM(J17:K25)</f>
        <v>#DIV/0!</v>
      </c>
      <c r="E163" s="615" t="e">
        <f>D163</f>
        <v>#DIV/0!</v>
      </c>
      <c r="F163" s="507"/>
      <c r="G163" s="393">
        <f t="shared" si="6"/>
        <v>2.5</v>
      </c>
      <c r="H163" s="394">
        <f>('SITE DATA'!$F$26-(0.2*G163))^2/('SITE DATA'!$F$26+(0.8*G163))</f>
        <v>0.125</v>
      </c>
      <c r="I163" s="586">
        <f t="shared" si="7"/>
        <v>80</v>
      </c>
      <c r="J163" s="394">
        <f>('SITE DATA'!$F$27-(0.2*G163))^2/('SITE DATA'!$F$27+(0.8*G163))</f>
        <v>0.125</v>
      </c>
      <c r="K163" s="586">
        <f t="shared" si="8"/>
        <v>80</v>
      </c>
      <c r="L163" s="394">
        <f>('SITE DATA'!$F$28-(0.2*G163))^2/('SITE DATA'!$F$28+(0.8*G163))</f>
        <v>0.125</v>
      </c>
      <c r="M163" s="586">
        <f t="shared" si="9"/>
        <v>80</v>
      </c>
    </row>
    <row r="164" spans="2:13" ht="15.75" hidden="1" thickBot="1" x14ac:dyDescent="0.25">
      <c r="B164" s="541"/>
      <c r="C164" s="537"/>
      <c r="D164" s="531"/>
      <c r="E164" s="507"/>
      <c r="F164" s="507"/>
      <c r="G164" s="393">
        <f t="shared" si="6"/>
        <v>2.3456790123456788</v>
      </c>
      <c r="H164" s="394">
        <f>('SITE DATA'!$F$26-(0.2*G164))^2/('SITE DATA'!$F$26+(0.8*G164))</f>
        <v>0.11728395061728394</v>
      </c>
      <c r="I164" s="586">
        <f t="shared" si="7"/>
        <v>81</v>
      </c>
      <c r="J164" s="394">
        <f>('SITE DATA'!$F$27-(0.2*G164))^2/('SITE DATA'!$F$27+(0.8*G164))</f>
        <v>0.11728395061728394</v>
      </c>
      <c r="K164" s="586">
        <f t="shared" si="8"/>
        <v>81</v>
      </c>
      <c r="L164" s="394">
        <f>('SITE DATA'!$F$28-(0.2*G164))^2/('SITE DATA'!$F$28+(0.8*G164))</f>
        <v>0.11728395061728394</v>
      </c>
      <c r="M164" s="586">
        <f t="shared" si="9"/>
        <v>81</v>
      </c>
    </row>
    <row r="165" spans="2:13" hidden="1" x14ac:dyDescent="0.2">
      <c r="B165" s="538"/>
      <c r="C165" s="511" t="s">
        <v>543</v>
      </c>
      <c r="D165" s="613" t="e">
        <f>(SUM(L25:M25))/SUM(D17:M25)</f>
        <v>#DIV/0!</v>
      </c>
      <c r="E165" s="507"/>
      <c r="F165" s="507"/>
      <c r="G165" s="393">
        <f t="shared" si="6"/>
        <v>2.1951219512195124</v>
      </c>
      <c r="H165" s="394">
        <f>('SITE DATA'!$F$26-(0.2*G165))^2/('SITE DATA'!$F$26+(0.8*G165))</f>
        <v>0.10975609756097562</v>
      </c>
      <c r="I165" s="586">
        <f t="shared" si="7"/>
        <v>82</v>
      </c>
      <c r="J165" s="394">
        <f>('SITE DATA'!$F$27-(0.2*G165))^2/('SITE DATA'!$F$27+(0.8*G165))</f>
        <v>0.10975609756097562</v>
      </c>
      <c r="K165" s="586">
        <f t="shared" si="8"/>
        <v>82</v>
      </c>
      <c r="L165" s="394">
        <f>('SITE DATA'!$F$28-(0.2*G165))^2/('SITE DATA'!$F$28+(0.8*G165))</f>
        <v>0.10975609756097562</v>
      </c>
      <c r="M165" s="586">
        <f t="shared" si="9"/>
        <v>82</v>
      </c>
    </row>
    <row r="166" spans="2:13" ht="24" hidden="1" thickBot="1" x14ac:dyDescent="0.4">
      <c r="B166" s="540" t="s">
        <v>573</v>
      </c>
      <c r="C166" s="511" t="s">
        <v>547</v>
      </c>
      <c r="D166" s="539" t="e">
        <f>0.05+(0.9*D165)</f>
        <v>#DIV/0!</v>
      </c>
      <c r="E166" s="507"/>
      <c r="F166" s="507"/>
      <c r="G166" s="393">
        <f t="shared" si="6"/>
        <v>2.0481927710843379</v>
      </c>
      <c r="H166" s="394">
        <f>('SITE DATA'!$F$26-(0.2*G166))^2/('SITE DATA'!$F$26+(0.8*G166))</f>
        <v>0.10240963855421689</v>
      </c>
      <c r="I166" s="586">
        <f t="shared" si="7"/>
        <v>83</v>
      </c>
      <c r="J166" s="394">
        <f>('SITE DATA'!$F$27-(0.2*G166))^2/('SITE DATA'!$F$27+(0.8*G166))</f>
        <v>0.10240963855421689</v>
      </c>
      <c r="K166" s="586">
        <f t="shared" si="8"/>
        <v>83</v>
      </c>
      <c r="L166" s="394">
        <f>('SITE DATA'!$F$28-(0.2*G166))^2/('SITE DATA'!$F$28+(0.8*G166))</f>
        <v>0.10240963855421689</v>
      </c>
      <c r="M166" s="586">
        <f t="shared" si="9"/>
        <v>83</v>
      </c>
    </row>
    <row r="167" spans="2:13" ht="24" hidden="1" thickBot="1" x14ac:dyDescent="0.4">
      <c r="B167" s="540"/>
      <c r="C167" s="534" t="s">
        <v>549</v>
      </c>
      <c r="D167" s="535" t="e">
        <f>3630*1*D166*SUM(L17:M25)</f>
        <v>#DIV/0!</v>
      </c>
      <c r="E167" s="615" t="e">
        <f>D167</f>
        <v>#DIV/0!</v>
      </c>
      <c r="F167" s="507"/>
      <c r="G167" s="393">
        <f t="shared" si="6"/>
        <v>1.9047619047619051</v>
      </c>
      <c r="H167" s="394">
        <f>('SITE DATA'!$F$26-(0.2*G167))^2/('SITE DATA'!$F$26+(0.8*G167))</f>
        <v>9.5238095238095261E-2</v>
      </c>
      <c r="I167" s="586">
        <f t="shared" si="7"/>
        <v>84</v>
      </c>
      <c r="J167" s="394">
        <f>('SITE DATA'!$F$27-(0.2*G167))^2/('SITE DATA'!$F$27+(0.8*G167))</f>
        <v>9.5238095238095261E-2</v>
      </c>
      <c r="K167" s="586">
        <f t="shared" si="8"/>
        <v>84</v>
      </c>
      <c r="L167" s="394">
        <f>('SITE DATA'!$F$28-(0.2*G167))^2/('SITE DATA'!$F$28+(0.8*G167))</f>
        <v>9.5238095238095261E-2</v>
      </c>
      <c r="M167" s="586">
        <f t="shared" si="9"/>
        <v>84</v>
      </c>
    </row>
    <row r="168" spans="2:13" ht="15.75" hidden="1" thickBot="1" x14ac:dyDescent="0.25">
      <c r="B168" s="541"/>
      <c r="C168" s="537"/>
      <c r="D168" s="531"/>
      <c r="E168" s="507"/>
      <c r="F168" s="507"/>
      <c r="G168" s="393">
        <f t="shared" si="6"/>
        <v>1.764705882352942</v>
      </c>
      <c r="H168" s="394">
        <f>('SITE DATA'!$F$26-(0.2*G168))^2/('SITE DATA'!$F$26+(0.8*G168))</f>
        <v>8.8235294117647106E-2</v>
      </c>
      <c r="I168" s="586">
        <f t="shared" si="7"/>
        <v>85</v>
      </c>
      <c r="J168" s="394">
        <f>('SITE DATA'!$F$27-(0.2*G168))^2/('SITE DATA'!$F$27+(0.8*G168))</f>
        <v>8.8235294117647106E-2</v>
      </c>
      <c r="K168" s="586">
        <f t="shared" si="8"/>
        <v>85</v>
      </c>
      <c r="L168" s="394">
        <f>('SITE DATA'!$F$28-(0.2*G168))^2/('SITE DATA'!$F$28+(0.8*G168))</f>
        <v>8.8235294117647106E-2</v>
      </c>
      <c r="M168" s="586">
        <f t="shared" si="9"/>
        <v>85</v>
      </c>
    </row>
    <row r="169" spans="2:13" hidden="1" x14ac:dyDescent="0.2">
      <c r="B169" s="397"/>
      <c r="C169" s="507"/>
      <c r="D169" s="507"/>
      <c r="E169" s="507"/>
      <c r="F169" s="160"/>
      <c r="G169" s="393">
        <f t="shared" si="6"/>
        <v>1.6279069767441854</v>
      </c>
      <c r="H169" s="394">
        <f>('SITE DATA'!$F$26-(0.2*G169))^2/('SITE DATA'!$F$26+(0.8*G169))</f>
        <v>8.139534883720928E-2</v>
      </c>
      <c r="I169" s="586">
        <f t="shared" si="7"/>
        <v>86</v>
      </c>
      <c r="J169" s="394">
        <f>('SITE DATA'!$F$27-(0.2*G169))^2/('SITE DATA'!$F$27+(0.8*G169))</f>
        <v>8.139534883720928E-2</v>
      </c>
      <c r="K169" s="586">
        <f t="shared" si="8"/>
        <v>86</v>
      </c>
      <c r="L169" s="394">
        <f>('SITE DATA'!$F$28-(0.2*G169))^2/('SITE DATA'!$F$28+(0.8*G169))</f>
        <v>8.139534883720928E-2</v>
      </c>
      <c r="M169" s="586">
        <f t="shared" si="9"/>
        <v>86</v>
      </c>
    </row>
    <row r="170" spans="2:13" hidden="1" x14ac:dyDescent="0.2">
      <c r="B170" s="397"/>
      <c r="C170" s="507"/>
      <c r="D170" s="507"/>
      <c r="E170" s="507"/>
      <c r="F170" s="507"/>
      <c r="G170" s="393">
        <f t="shared" si="6"/>
        <v>1.4942528735632177</v>
      </c>
      <c r="H170" s="394">
        <f>('SITE DATA'!$F$26-(0.2*G170))^2/('SITE DATA'!$F$26+(0.8*G170))</f>
        <v>7.4712643678160884E-2</v>
      </c>
      <c r="I170" s="586">
        <f t="shared" si="7"/>
        <v>87</v>
      </c>
      <c r="J170" s="394">
        <f>('SITE DATA'!$F$27-(0.2*G170))^2/('SITE DATA'!$F$27+(0.8*G170))</f>
        <v>7.4712643678160884E-2</v>
      </c>
      <c r="K170" s="586">
        <f t="shared" si="8"/>
        <v>87</v>
      </c>
      <c r="L170" s="394">
        <f>('SITE DATA'!$F$28-(0.2*G170))^2/('SITE DATA'!$F$28+(0.8*G170))</f>
        <v>7.4712643678160884E-2</v>
      </c>
      <c r="M170" s="586">
        <f t="shared" si="9"/>
        <v>87</v>
      </c>
    </row>
    <row r="171" spans="2:13" hidden="1" x14ac:dyDescent="0.2">
      <c r="B171" s="397"/>
      <c r="C171" s="507"/>
      <c r="D171" s="507"/>
      <c r="E171" s="507"/>
      <c r="F171" s="507"/>
      <c r="G171" s="393">
        <f t="shared" si="6"/>
        <v>1.3636363636363633</v>
      </c>
      <c r="H171" s="394">
        <f>('SITE DATA'!$F$26-(0.2*G171))^2/('SITE DATA'!$F$26+(0.8*G171))</f>
        <v>6.8181818181818163E-2</v>
      </c>
      <c r="I171" s="586">
        <f t="shared" si="7"/>
        <v>88</v>
      </c>
      <c r="J171" s="394">
        <f>('SITE DATA'!$F$27-(0.2*G171))^2/('SITE DATA'!$F$27+(0.8*G171))</f>
        <v>6.8181818181818163E-2</v>
      </c>
      <c r="K171" s="586">
        <f t="shared" si="8"/>
        <v>88</v>
      </c>
      <c r="L171" s="394">
        <f>('SITE DATA'!$F$28-(0.2*G171))^2/('SITE DATA'!$F$28+(0.8*G171))</f>
        <v>6.8181818181818163E-2</v>
      </c>
      <c r="M171" s="586">
        <f t="shared" si="9"/>
        <v>88</v>
      </c>
    </row>
    <row r="172" spans="2:13" hidden="1" x14ac:dyDescent="0.2">
      <c r="B172" s="397"/>
      <c r="C172" s="507"/>
      <c r="D172" s="507"/>
      <c r="E172" s="507"/>
      <c r="F172" s="507"/>
      <c r="G172" s="393">
        <f t="shared" si="6"/>
        <v>1.2359550561797761</v>
      </c>
      <c r="H172" s="394">
        <f>('SITE DATA'!$F$26-(0.2*G172))^2/('SITE DATA'!$F$26+(0.8*G172))</f>
        <v>6.1797752808988804E-2</v>
      </c>
      <c r="I172" s="586">
        <f t="shared" si="7"/>
        <v>89</v>
      </c>
      <c r="J172" s="394">
        <f>('SITE DATA'!$F$27-(0.2*G172))^2/('SITE DATA'!$F$27+(0.8*G172))</f>
        <v>6.1797752808988804E-2</v>
      </c>
      <c r="K172" s="586">
        <f t="shared" si="8"/>
        <v>89</v>
      </c>
      <c r="L172" s="394">
        <f>('SITE DATA'!$F$28-(0.2*G172))^2/('SITE DATA'!$F$28+(0.8*G172))</f>
        <v>6.1797752808988804E-2</v>
      </c>
      <c r="M172" s="586">
        <f t="shared" si="9"/>
        <v>89</v>
      </c>
    </row>
    <row r="173" spans="2:13" hidden="1" x14ac:dyDescent="0.2">
      <c r="B173" s="397"/>
      <c r="C173" s="507"/>
      <c r="D173" s="507"/>
      <c r="E173" s="507"/>
      <c r="F173" s="507"/>
      <c r="G173" s="393">
        <f t="shared" si="6"/>
        <v>1.1111111111111107</v>
      </c>
      <c r="H173" s="394">
        <f>('SITE DATA'!$F$26-(0.2*G173))^2/('SITE DATA'!$F$26+(0.8*G173))</f>
        <v>5.5555555555555539E-2</v>
      </c>
      <c r="I173" s="586">
        <f t="shared" si="7"/>
        <v>90</v>
      </c>
      <c r="J173" s="394">
        <f>('SITE DATA'!$F$27-(0.2*G173))^2/('SITE DATA'!$F$27+(0.8*G173))</f>
        <v>5.5555555555555539E-2</v>
      </c>
      <c r="K173" s="586">
        <f t="shared" si="8"/>
        <v>90</v>
      </c>
      <c r="L173" s="394">
        <f>('SITE DATA'!$F$28-(0.2*G173))^2/('SITE DATA'!$F$28+(0.8*G173))</f>
        <v>5.5555555555555539E-2</v>
      </c>
      <c r="M173" s="586">
        <f t="shared" si="9"/>
        <v>90</v>
      </c>
    </row>
    <row r="174" spans="2:13" hidden="1" x14ac:dyDescent="0.2">
      <c r="B174" s="397"/>
      <c r="C174" s="507"/>
      <c r="D174" s="507"/>
      <c r="E174" s="507"/>
      <c r="F174" s="507"/>
      <c r="G174" s="393">
        <f t="shared" si="6"/>
        <v>0.98901098901098905</v>
      </c>
      <c r="H174" s="394">
        <f>('SITE DATA'!$F$26-(0.2*G174))^2/('SITE DATA'!$F$26+(0.8*G174))</f>
        <v>4.9450549450549455E-2</v>
      </c>
      <c r="I174" s="586">
        <f t="shared" si="7"/>
        <v>91</v>
      </c>
      <c r="J174" s="394">
        <f>('SITE DATA'!$F$27-(0.2*G174))^2/('SITE DATA'!$F$27+(0.8*G174))</f>
        <v>4.9450549450549455E-2</v>
      </c>
      <c r="K174" s="586">
        <f t="shared" si="8"/>
        <v>91</v>
      </c>
      <c r="L174" s="394">
        <f>('SITE DATA'!$F$28-(0.2*G174))^2/('SITE DATA'!$F$28+(0.8*G174))</f>
        <v>4.9450549450549455E-2</v>
      </c>
      <c r="M174" s="586">
        <f t="shared" si="9"/>
        <v>91</v>
      </c>
    </row>
    <row r="175" spans="2:13" hidden="1" x14ac:dyDescent="0.2">
      <c r="B175" s="397"/>
      <c r="C175" s="507"/>
      <c r="D175" s="507"/>
      <c r="E175" s="507"/>
      <c r="F175" s="507"/>
      <c r="G175" s="393">
        <f t="shared" si="6"/>
        <v>0.86956521739130466</v>
      </c>
      <c r="H175" s="394">
        <f>('SITE DATA'!$F$26-(0.2*G175))^2/('SITE DATA'!$F$26+(0.8*G175))</f>
        <v>4.3478260869565237E-2</v>
      </c>
      <c r="I175" s="586">
        <f t="shared" si="7"/>
        <v>92</v>
      </c>
      <c r="J175" s="394">
        <f>('SITE DATA'!$F$27-(0.2*G175))^2/('SITE DATA'!$F$27+(0.8*G175))</f>
        <v>4.3478260869565237E-2</v>
      </c>
      <c r="K175" s="586">
        <f t="shared" si="8"/>
        <v>92</v>
      </c>
      <c r="L175" s="394">
        <f>('SITE DATA'!$F$28-(0.2*G175))^2/('SITE DATA'!$F$28+(0.8*G175))</f>
        <v>4.3478260869565237E-2</v>
      </c>
      <c r="M175" s="586">
        <f t="shared" si="9"/>
        <v>92</v>
      </c>
    </row>
    <row r="176" spans="2:13" hidden="1" x14ac:dyDescent="0.2">
      <c r="B176" s="397"/>
      <c r="C176" s="507"/>
      <c r="D176" s="507"/>
      <c r="E176" s="507"/>
      <c r="F176" s="507"/>
      <c r="G176" s="393">
        <f t="shared" si="6"/>
        <v>0.75268817204301008</v>
      </c>
      <c r="H176" s="394">
        <f>('SITE DATA'!$F$26-(0.2*G176))^2/('SITE DATA'!$F$26+(0.8*G176))</f>
        <v>3.7634408602150504E-2</v>
      </c>
      <c r="I176" s="586">
        <f t="shared" si="7"/>
        <v>93</v>
      </c>
      <c r="J176" s="394">
        <f>('SITE DATA'!$F$27-(0.2*G176))^2/('SITE DATA'!$F$27+(0.8*G176))</f>
        <v>3.7634408602150504E-2</v>
      </c>
      <c r="K176" s="586">
        <f t="shared" si="8"/>
        <v>93</v>
      </c>
      <c r="L176" s="394">
        <f>('SITE DATA'!$F$28-(0.2*G176))^2/('SITE DATA'!$F$28+(0.8*G176))</f>
        <v>3.7634408602150504E-2</v>
      </c>
      <c r="M176" s="586">
        <f t="shared" si="9"/>
        <v>93</v>
      </c>
    </row>
    <row r="177" spans="2:14" hidden="1" x14ac:dyDescent="0.2">
      <c r="B177" s="397"/>
      <c r="C177" s="507"/>
      <c r="D177" s="507"/>
      <c r="E177" s="507"/>
      <c r="F177" s="507"/>
      <c r="G177" s="393">
        <f t="shared" si="6"/>
        <v>0.63829787234042534</v>
      </c>
      <c r="H177" s="394">
        <f>('SITE DATA'!$F$26-(0.2*G177))^2/('SITE DATA'!$F$26+(0.8*G177))</f>
        <v>3.1914893617021267E-2</v>
      </c>
      <c r="I177" s="586">
        <f t="shared" si="7"/>
        <v>94</v>
      </c>
      <c r="J177" s="394">
        <f>('SITE DATA'!$F$27-(0.2*G177))^2/('SITE DATA'!$F$27+(0.8*G177))</f>
        <v>3.1914893617021267E-2</v>
      </c>
      <c r="K177" s="586">
        <f t="shared" si="8"/>
        <v>94</v>
      </c>
      <c r="L177" s="394">
        <f>('SITE DATA'!$F$28-(0.2*G177))^2/('SITE DATA'!$F$28+(0.8*G177))</f>
        <v>3.1914893617021267E-2</v>
      </c>
      <c r="M177" s="586">
        <f t="shared" si="9"/>
        <v>94</v>
      </c>
    </row>
    <row r="178" spans="2:14" hidden="1" x14ac:dyDescent="0.2">
      <c r="B178" s="397"/>
      <c r="C178" s="507"/>
      <c r="D178" s="507"/>
      <c r="E178" s="507"/>
      <c r="F178" s="507"/>
      <c r="G178" s="393">
        <f t="shared" si="6"/>
        <v>0.52631578947368496</v>
      </c>
      <c r="H178" s="394">
        <f>('SITE DATA'!$F$26-(0.2*G178))^2/('SITE DATA'!$F$26+(0.8*G178))</f>
        <v>2.6315789473684247E-2</v>
      </c>
      <c r="I178" s="586">
        <f t="shared" si="7"/>
        <v>95</v>
      </c>
      <c r="J178" s="394">
        <f>('SITE DATA'!$F$27-(0.2*G178))^2/('SITE DATA'!$F$27+(0.8*G178))</f>
        <v>2.6315789473684247E-2</v>
      </c>
      <c r="K178" s="586">
        <f t="shared" si="8"/>
        <v>95</v>
      </c>
      <c r="L178" s="394">
        <f>('SITE DATA'!$F$28-(0.2*G178))^2/('SITE DATA'!$F$28+(0.8*G178))</f>
        <v>2.6315789473684247E-2</v>
      </c>
      <c r="M178" s="586">
        <f t="shared" si="9"/>
        <v>95</v>
      </c>
    </row>
    <row r="179" spans="2:14" hidden="1" x14ac:dyDescent="0.2">
      <c r="B179" s="397"/>
      <c r="C179" s="507"/>
      <c r="D179" s="507"/>
      <c r="E179" s="507"/>
      <c r="F179" s="507"/>
      <c r="G179" s="393">
        <f t="shared" si="6"/>
        <v>0.41666666666666607</v>
      </c>
      <c r="H179" s="394">
        <f>('SITE DATA'!$F$26-(0.2*G179))^2/('SITE DATA'!$F$26+(0.8*G179))</f>
        <v>2.0833333333333304E-2</v>
      </c>
      <c r="I179" s="586">
        <f t="shared" si="7"/>
        <v>96</v>
      </c>
      <c r="J179" s="394">
        <f>('SITE DATA'!$F$27-(0.2*G179))^2/('SITE DATA'!$F$27+(0.8*G179))</f>
        <v>2.0833333333333304E-2</v>
      </c>
      <c r="K179" s="586">
        <f t="shared" si="8"/>
        <v>96</v>
      </c>
      <c r="L179" s="394">
        <f>('SITE DATA'!$F$28-(0.2*G179))^2/('SITE DATA'!$F$28+(0.8*G179))</f>
        <v>2.0833333333333304E-2</v>
      </c>
      <c r="M179" s="586">
        <f t="shared" si="9"/>
        <v>96</v>
      </c>
    </row>
    <row r="180" spans="2:14" hidden="1" x14ac:dyDescent="0.2">
      <c r="B180" s="397"/>
      <c r="C180" s="507"/>
      <c r="D180" s="507"/>
      <c r="E180" s="507"/>
      <c r="F180" s="507"/>
      <c r="G180" s="393">
        <f t="shared" si="6"/>
        <v>0.3092783505154646</v>
      </c>
      <c r="H180" s="394">
        <f>('SITE DATA'!$F$26-(0.2*G180))^2/('SITE DATA'!$F$26+(0.8*G180))</f>
        <v>1.5463917525773231E-2</v>
      </c>
      <c r="I180" s="586">
        <f t="shared" si="7"/>
        <v>97</v>
      </c>
      <c r="J180" s="394">
        <f>('SITE DATA'!$F$27-(0.2*G180))^2/('SITE DATA'!$F$27+(0.8*G180))</f>
        <v>1.5463917525773231E-2</v>
      </c>
      <c r="K180" s="586">
        <f t="shared" si="8"/>
        <v>97</v>
      </c>
      <c r="L180" s="394">
        <f>('SITE DATA'!$F$28-(0.2*G180))^2/('SITE DATA'!$F$28+(0.8*G180))</f>
        <v>1.5463917525773231E-2</v>
      </c>
      <c r="M180" s="586">
        <f t="shared" si="9"/>
        <v>97</v>
      </c>
    </row>
    <row r="181" spans="2:14" hidden="1" x14ac:dyDescent="0.2">
      <c r="B181" s="397"/>
      <c r="C181" s="507"/>
      <c r="D181" s="507"/>
      <c r="E181" s="507"/>
      <c r="F181" s="507"/>
      <c r="G181" s="393">
        <f t="shared" si="6"/>
        <v>0.20408163265306101</v>
      </c>
      <c r="H181" s="394">
        <f>('SITE DATA'!$F$26-(0.2*G181))^2/('SITE DATA'!$F$26+(0.8*G181))</f>
        <v>1.0204081632653052E-2</v>
      </c>
      <c r="I181" s="586">
        <f t="shared" si="7"/>
        <v>98</v>
      </c>
      <c r="J181" s="394">
        <f>('SITE DATA'!$F$27-(0.2*G181))^2/('SITE DATA'!$F$27+(0.8*G181))</f>
        <v>1.0204081632653052E-2</v>
      </c>
      <c r="K181" s="586">
        <f t="shared" si="8"/>
        <v>98</v>
      </c>
      <c r="L181" s="394">
        <f>('SITE DATA'!$F$28-(0.2*G181))^2/('SITE DATA'!$F$28+(0.8*G181))</f>
        <v>1.0204081632653052E-2</v>
      </c>
      <c r="M181" s="586">
        <f t="shared" si="9"/>
        <v>98</v>
      </c>
    </row>
    <row r="182" spans="2:14" hidden="1" x14ac:dyDescent="0.2">
      <c r="B182" s="397"/>
      <c r="C182" s="507"/>
      <c r="D182" s="507"/>
      <c r="E182" s="507"/>
      <c r="F182" s="507"/>
      <c r="G182" s="507"/>
      <c r="H182" s="507"/>
      <c r="I182" s="507"/>
      <c r="J182" s="507"/>
      <c r="K182" s="573"/>
      <c r="L182" s="507"/>
      <c r="M182" s="507"/>
      <c r="N182" s="507"/>
    </row>
    <row r="183" spans="2:14" hidden="1" x14ac:dyDescent="0.2">
      <c r="B183" s="397"/>
      <c r="C183" s="507"/>
      <c r="D183" s="507"/>
      <c r="E183" s="507"/>
      <c r="F183" s="507"/>
      <c r="G183" s="507"/>
      <c r="H183" s="507"/>
      <c r="I183" s="507"/>
      <c r="J183" s="507"/>
      <c r="K183" s="573"/>
      <c r="L183" s="507"/>
      <c r="M183" s="507"/>
      <c r="N183" s="507"/>
    </row>
    <row r="184" spans="2:14" hidden="1" x14ac:dyDescent="0.2">
      <c r="B184" s="397"/>
      <c r="C184" s="507"/>
      <c r="D184" s="507"/>
      <c r="E184" s="507"/>
      <c r="F184" s="507"/>
      <c r="G184" s="507"/>
      <c r="H184" s="507"/>
      <c r="I184" s="507"/>
      <c r="J184" s="507"/>
      <c r="K184" s="573"/>
      <c r="L184" s="507"/>
      <c r="M184" s="507"/>
      <c r="N184" s="507"/>
    </row>
    <row r="185" spans="2:14" hidden="1" x14ac:dyDescent="0.2">
      <c r="B185" s="397"/>
      <c r="C185" s="507"/>
      <c r="D185" s="507"/>
      <c r="E185" s="507"/>
      <c r="F185" s="507"/>
      <c r="G185" s="507"/>
      <c r="H185" s="507"/>
      <c r="I185" s="507"/>
      <c r="J185" s="507"/>
      <c r="K185" s="573"/>
      <c r="L185" s="507"/>
      <c r="M185" s="507"/>
      <c r="N185" s="507"/>
    </row>
    <row r="186" spans="2:14" hidden="1" x14ac:dyDescent="0.2">
      <c r="B186" s="397"/>
      <c r="C186" s="507"/>
      <c r="D186" s="507"/>
      <c r="E186" s="507"/>
      <c r="F186" s="507"/>
      <c r="G186" s="507"/>
      <c r="H186" s="507"/>
      <c r="I186" s="507"/>
      <c r="J186" s="507"/>
      <c r="K186" s="573"/>
      <c r="L186" s="507"/>
      <c r="M186" s="507"/>
      <c r="N186" s="507"/>
    </row>
    <row r="187" spans="2:14" hidden="1" x14ac:dyDescent="0.2">
      <c r="B187" s="397"/>
      <c r="C187" s="507"/>
      <c r="D187" s="507"/>
      <c r="E187" s="507"/>
      <c r="F187" s="507"/>
      <c r="G187" s="507"/>
      <c r="H187" s="507"/>
      <c r="I187" s="507"/>
      <c r="J187" s="507"/>
      <c r="K187" s="573"/>
      <c r="L187" s="507"/>
      <c r="M187" s="507"/>
      <c r="N187" s="507"/>
    </row>
    <row r="188" spans="2:14" hidden="1" x14ac:dyDescent="0.2">
      <c r="B188" s="397"/>
      <c r="C188" s="507"/>
      <c r="D188" s="507"/>
      <c r="E188" s="507"/>
      <c r="F188" s="507"/>
      <c r="G188" s="507"/>
      <c r="H188" s="507"/>
      <c r="I188" s="507"/>
      <c r="J188" s="507"/>
      <c r="K188" s="573"/>
      <c r="L188" s="507"/>
      <c r="M188" s="507"/>
      <c r="N188" s="507"/>
    </row>
    <row r="189" spans="2:14" hidden="1" x14ac:dyDescent="0.2">
      <c r="B189" s="397"/>
      <c r="C189" s="507"/>
      <c r="D189" s="507"/>
      <c r="E189" s="507"/>
      <c r="F189" s="507"/>
      <c r="G189" s="507"/>
      <c r="H189" s="507"/>
      <c r="I189" s="507"/>
      <c r="J189" s="507"/>
      <c r="K189" s="573"/>
      <c r="L189" s="507"/>
      <c r="M189" s="507"/>
      <c r="N189" s="507"/>
    </row>
    <row r="190" spans="2:14" hidden="1" x14ac:dyDescent="0.2">
      <c r="B190" s="397"/>
      <c r="C190" s="507"/>
      <c r="D190" s="507"/>
      <c r="E190" s="507"/>
      <c r="F190" s="507"/>
      <c r="G190" s="507"/>
      <c r="H190" s="507"/>
      <c r="I190" s="507"/>
      <c r="J190" s="507"/>
      <c r="K190" s="573"/>
      <c r="L190" s="507"/>
      <c r="M190" s="507"/>
      <c r="N190" s="507"/>
    </row>
    <row r="191" spans="2:14" hidden="1" x14ac:dyDescent="0.2">
      <c r="B191" s="397"/>
      <c r="C191" s="507"/>
      <c r="D191" s="507"/>
      <c r="E191" s="507"/>
      <c r="F191" s="507"/>
      <c r="G191" s="507"/>
      <c r="H191" s="507"/>
      <c r="I191" s="507"/>
      <c r="J191" s="507"/>
      <c r="K191" s="573"/>
      <c r="L191" s="507"/>
      <c r="M191" s="507"/>
      <c r="N191" s="507"/>
    </row>
    <row r="192" spans="2:14" hidden="1" x14ac:dyDescent="0.2">
      <c r="B192" s="397"/>
      <c r="C192" s="507"/>
      <c r="D192" s="507"/>
      <c r="E192" s="507"/>
      <c r="F192" s="507"/>
      <c r="G192" s="507"/>
      <c r="H192" s="507"/>
      <c r="I192" s="507"/>
      <c r="J192" s="507"/>
      <c r="K192" s="573"/>
      <c r="L192" s="507"/>
      <c r="M192" s="507"/>
      <c r="N192" s="507"/>
    </row>
    <row r="193" spans="1:27" hidden="1" x14ac:dyDescent="0.2">
      <c r="B193" s="397"/>
      <c r="C193" s="507"/>
      <c r="D193" s="507"/>
      <c r="E193" s="507"/>
      <c r="F193" s="507"/>
      <c r="G193" s="507"/>
      <c r="H193" s="507"/>
      <c r="I193" s="507"/>
      <c r="J193" s="507"/>
      <c r="K193" s="573"/>
      <c r="L193" s="507"/>
      <c r="M193" s="507"/>
      <c r="N193" s="507"/>
    </row>
    <row r="194" spans="1:27" hidden="1" x14ac:dyDescent="0.2">
      <c r="B194" s="397"/>
      <c r="C194" s="507"/>
      <c r="D194" s="507"/>
      <c r="E194" s="507"/>
      <c r="F194" s="507"/>
      <c r="G194" s="507"/>
      <c r="H194" s="507"/>
      <c r="I194" s="507"/>
      <c r="J194" s="507"/>
      <c r="K194" s="573"/>
      <c r="L194" s="507"/>
      <c r="M194" s="507"/>
      <c r="N194" s="507"/>
    </row>
    <row r="195" spans="1:27" hidden="1" x14ac:dyDescent="0.2">
      <c r="B195" s="397"/>
      <c r="C195" s="507"/>
      <c r="D195" s="507"/>
      <c r="E195" s="507"/>
      <c r="F195" s="507"/>
      <c r="G195" s="507"/>
      <c r="H195" s="507"/>
      <c r="I195" s="507"/>
      <c r="J195" s="507"/>
      <c r="K195" s="573"/>
      <c r="L195" s="507"/>
      <c r="M195" s="507"/>
      <c r="N195" s="507"/>
    </row>
    <row r="196" spans="1:27" hidden="1" x14ac:dyDescent="0.2">
      <c r="B196" s="397"/>
      <c r="C196" s="507"/>
      <c r="D196" s="507"/>
      <c r="E196" s="507"/>
      <c r="F196" s="507"/>
      <c r="G196" s="507"/>
      <c r="H196" s="507"/>
      <c r="I196" s="507"/>
      <c r="J196" s="507"/>
      <c r="K196" s="573"/>
      <c r="L196" s="507"/>
      <c r="M196" s="507"/>
      <c r="N196" s="507"/>
    </row>
    <row r="197" spans="1:27" hidden="1" x14ac:dyDescent="0.2">
      <c r="B197" s="507"/>
      <c r="C197" s="507"/>
      <c r="D197" s="507"/>
      <c r="E197" s="507"/>
      <c r="F197" s="507"/>
      <c r="G197" s="507"/>
      <c r="H197" s="507"/>
      <c r="I197" s="507"/>
      <c r="J197" s="507"/>
      <c r="K197" s="573"/>
      <c r="L197" s="507"/>
      <c r="M197" s="507"/>
      <c r="N197" s="507"/>
    </row>
    <row r="198" spans="1:27" hidden="1" x14ac:dyDescent="0.2">
      <c r="B198" s="507"/>
      <c r="C198" s="507"/>
      <c r="D198" s="507"/>
      <c r="E198" s="507"/>
      <c r="F198" s="507"/>
      <c r="G198" s="507"/>
      <c r="H198" s="507"/>
      <c r="I198" s="507"/>
      <c r="J198" s="507"/>
      <c r="K198" s="573"/>
      <c r="L198" s="507"/>
      <c r="M198" s="507"/>
      <c r="N198" s="507"/>
    </row>
    <row r="199" spans="1:27" hidden="1" x14ac:dyDescent="0.2">
      <c r="B199" s="507"/>
      <c r="C199" s="507"/>
      <c r="D199" s="507"/>
      <c r="E199" s="507"/>
      <c r="F199" s="507"/>
      <c r="G199" s="507"/>
      <c r="H199" s="507"/>
      <c r="I199" s="507"/>
      <c r="J199" s="507"/>
      <c r="K199" s="573"/>
      <c r="L199" s="507"/>
      <c r="M199" s="507"/>
      <c r="N199" s="507"/>
    </row>
    <row r="200" spans="1:27" hidden="1" x14ac:dyDescent="0.2">
      <c r="B200" s="507"/>
      <c r="C200" s="507"/>
      <c r="D200" s="507"/>
      <c r="E200" s="507"/>
      <c r="F200" s="507"/>
      <c r="G200" s="507"/>
      <c r="H200" s="507"/>
      <c r="I200" s="507"/>
      <c r="J200" s="507"/>
      <c r="K200" s="573"/>
      <c r="L200" s="507"/>
      <c r="M200" s="507"/>
      <c r="N200" s="507"/>
    </row>
    <row r="201" spans="1:27" hidden="1" x14ac:dyDescent="0.2">
      <c r="B201" s="507"/>
      <c r="C201" s="507"/>
      <c r="D201" s="507"/>
      <c r="E201" s="507"/>
      <c r="F201" s="507"/>
      <c r="G201" s="507"/>
      <c r="H201" s="507"/>
      <c r="I201" s="507"/>
      <c r="J201" s="507"/>
      <c r="K201" s="573"/>
      <c r="L201" s="507"/>
      <c r="M201" s="507"/>
      <c r="N201" s="507"/>
    </row>
    <row r="202" spans="1:27" hidden="1" x14ac:dyDescent="0.2">
      <c r="B202" s="507"/>
      <c r="C202" s="507"/>
      <c r="D202" s="507"/>
      <c r="E202" s="507"/>
      <c r="F202" s="507"/>
      <c r="G202" s="507"/>
      <c r="H202" s="507"/>
      <c r="I202" s="507"/>
      <c r="J202" s="507"/>
      <c r="K202" s="573"/>
      <c r="L202" s="507"/>
      <c r="M202" s="507"/>
      <c r="N202" s="507"/>
    </row>
    <row r="203" spans="1:27" hidden="1" x14ac:dyDescent="0.2">
      <c r="B203" s="507"/>
      <c r="C203" s="507"/>
      <c r="D203" s="507"/>
      <c r="E203" s="507"/>
      <c r="F203" s="507"/>
      <c r="G203" s="507"/>
      <c r="H203" s="507"/>
      <c r="I203" s="507"/>
      <c r="J203" s="507"/>
      <c r="K203" s="573"/>
      <c r="L203" s="507"/>
      <c r="M203" s="507"/>
      <c r="N203" s="507"/>
    </row>
    <row r="204" spans="1:27" hidden="1" x14ac:dyDescent="0.2">
      <c r="B204" s="507"/>
      <c r="C204" s="507"/>
      <c r="D204" s="507"/>
      <c r="E204" s="507"/>
      <c r="F204" s="507"/>
      <c r="G204" s="507"/>
      <c r="H204" s="507"/>
      <c r="I204" s="507"/>
      <c r="J204" s="507"/>
      <c r="K204" s="573"/>
      <c r="L204" s="507"/>
      <c r="M204" s="507"/>
      <c r="N204" s="507"/>
    </row>
    <row r="205" spans="1:27" hidden="1" x14ac:dyDescent="0.2">
      <c r="B205" s="507"/>
      <c r="C205" s="507"/>
      <c r="D205" s="507"/>
      <c r="E205" s="507"/>
      <c r="F205" s="507"/>
      <c r="G205" s="507"/>
      <c r="H205" s="507"/>
      <c r="I205" s="507"/>
      <c r="J205" s="507"/>
      <c r="K205" s="573"/>
      <c r="L205" s="507"/>
      <c r="M205" s="507"/>
      <c r="N205" s="507"/>
    </row>
    <row r="206" spans="1:27" ht="15.75" hidden="1" x14ac:dyDescent="0.2">
      <c r="B206" s="576"/>
      <c r="C206" s="576"/>
      <c r="D206" s="576"/>
      <c r="E206" s="576"/>
      <c r="F206" s="577"/>
      <c r="G206" s="577"/>
      <c r="H206" s="577"/>
      <c r="I206" s="577"/>
      <c r="J206" s="577"/>
      <c r="K206" s="577"/>
      <c r="L206" s="577"/>
      <c r="M206" s="577"/>
      <c r="N206" s="507"/>
      <c r="Z206" s="507"/>
      <c r="AA206" s="507"/>
    </row>
    <row r="207" spans="1:27" s="523" customFormat="1" x14ac:dyDescent="0.2">
      <c r="A207" s="737" t="s">
        <v>449</v>
      </c>
      <c r="B207" s="737"/>
      <c r="C207" s="737"/>
      <c r="D207" s="737"/>
      <c r="E207" s="737"/>
      <c r="F207" s="737"/>
      <c r="G207" s="737"/>
      <c r="H207" s="737"/>
      <c r="I207" s="737"/>
      <c r="J207" s="737"/>
      <c r="K207" s="737"/>
      <c r="L207" s="737"/>
      <c r="M207" s="507"/>
    </row>
    <row r="208" spans="1:27" x14ac:dyDescent="0.2">
      <c r="A208" s="737"/>
      <c r="B208" s="737"/>
      <c r="C208" s="737"/>
      <c r="D208" s="737"/>
      <c r="E208" s="737"/>
      <c r="F208" s="737"/>
      <c r="G208" s="737"/>
      <c r="H208" s="737"/>
      <c r="I208" s="737"/>
      <c r="J208" s="737"/>
      <c r="K208" s="737"/>
      <c r="L208" s="737"/>
      <c r="M208" s="507"/>
      <c r="N208" s="507"/>
      <c r="Z208" s="507"/>
    </row>
    <row r="209" spans="1:26" ht="15.75" x14ac:dyDescent="0.2">
      <c r="A209" s="738" t="s">
        <v>436</v>
      </c>
      <c r="B209" s="738"/>
      <c r="C209" s="738"/>
      <c r="D209" s="738"/>
      <c r="E209" s="738"/>
      <c r="F209" s="738"/>
      <c r="G209" s="738"/>
      <c r="H209" s="738"/>
      <c r="I209" s="738"/>
      <c r="J209" s="738"/>
      <c r="K209" s="738"/>
      <c r="L209" s="738"/>
      <c r="M209" s="507"/>
      <c r="N209" s="507"/>
      <c r="Z209" s="507"/>
    </row>
    <row r="210" spans="1:26" x14ac:dyDescent="0.2">
      <c r="A210" s="737" t="s">
        <v>450</v>
      </c>
      <c r="B210" s="737"/>
      <c r="C210" s="737"/>
      <c r="D210" s="737"/>
      <c r="E210" s="737"/>
      <c r="F210" s="737"/>
      <c r="G210" s="737"/>
      <c r="H210" s="737"/>
      <c r="I210" s="737"/>
      <c r="J210" s="737"/>
      <c r="K210" s="737"/>
      <c r="L210" s="737"/>
      <c r="M210" s="507"/>
      <c r="N210" s="507"/>
      <c r="Z210" s="507"/>
    </row>
    <row r="211" spans="1:26" x14ac:dyDescent="0.2">
      <c r="A211" s="737"/>
      <c r="B211" s="737"/>
      <c r="C211" s="737"/>
      <c r="D211" s="737"/>
      <c r="E211" s="737"/>
      <c r="F211" s="737"/>
      <c r="G211" s="737"/>
      <c r="H211" s="737"/>
      <c r="I211" s="737"/>
      <c r="J211" s="737"/>
      <c r="K211" s="737"/>
      <c r="L211" s="737"/>
      <c r="M211" s="507"/>
      <c r="N211" s="507"/>
      <c r="Z211" s="507"/>
    </row>
    <row r="212" spans="1:26" ht="15.75" x14ac:dyDescent="0.2">
      <c r="A212" s="738" t="s">
        <v>436</v>
      </c>
      <c r="B212" s="738"/>
      <c r="C212" s="738"/>
      <c r="D212" s="738"/>
      <c r="E212" s="738"/>
      <c r="F212" s="738"/>
      <c r="G212" s="738"/>
      <c r="H212" s="738"/>
      <c r="I212" s="738"/>
      <c r="J212" s="738"/>
      <c r="K212" s="738"/>
      <c r="L212" s="738"/>
      <c r="M212" s="507"/>
      <c r="N212" s="507"/>
      <c r="Z212" s="507"/>
    </row>
    <row r="213" spans="1:26" x14ac:dyDescent="0.2">
      <c r="A213" s="737" t="s">
        <v>451</v>
      </c>
      <c r="B213" s="737"/>
      <c r="C213" s="737"/>
      <c r="D213" s="737"/>
      <c r="E213" s="737"/>
      <c r="F213" s="737"/>
      <c r="G213" s="737"/>
      <c r="H213" s="737"/>
      <c r="I213" s="737"/>
      <c r="J213" s="737"/>
      <c r="K213" s="737"/>
      <c r="L213" s="737"/>
      <c r="M213" s="507"/>
      <c r="N213" s="507"/>
      <c r="Z213" s="507"/>
    </row>
    <row r="214" spans="1:26" x14ac:dyDescent="0.2">
      <c r="A214" s="737"/>
      <c r="B214" s="737"/>
      <c r="C214" s="737"/>
      <c r="D214" s="737"/>
      <c r="E214" s="737"/>
      <c r="F214" s="737"/>
      <c r="G214" s="737"/>
      <c r="H214" s="737"/>
      <c r="I214" s="737"/>
      <c r="J214" s="737"/>
      <c r="K214" s="737"/>
      <c r="L214" s="737"/>
      <c r="M214" s="507"/>
      <c r="N214" s="507"/>
      <c r="Z214" s="507"/>
    </row>
    <row r="215" spans="1:26" x14ac:dyDescent="0.2">
      <c r="B215" s="507"/>
      <c r="C215" s="507"/>
      <c r="D215" s="507"/>
      <c r="E215" s="507"/>
      <c r="F215" s="507"/>
      <c r="G215" s="507"/>
      <c r="H215" s="507"/>
      <c r="I215" s="507"/>
      <c r="J215" s="507"/>
      <c r="K215" s="573"/>
      <c r="L215" s="507"/>
      <c r="M215" s="507"/>
      <c r="N215" s="507"/>
    </row>
    <row r="216" spans="1:26" x14ac:dyDescent="0.2">
      <c r="B216" s="507"/>
      <c r="C216" s="507"/>
      <c r="D216" s="507"/>
      <c r="E216" s="507"/>
      <c r="F216" s="507"/>
      <c r="G216" s="507"/>
      <c r="H216" s="507"/>
      <c r="I216" s="507"/>
      <c r="J216" s="507"/>
      <c r="K216" s="573"/>
      <c r="L216" s="507"/>
      <c r="M216" s="507"/>
      <c r="N216" s="507"/>
    </row>
    <row r="217" spans="1:26" x14ac:dyDescent="0.2">
      <c r="B217" s="507"/>
      <c r="C217" s="507"/>
      <c r="D217" s="507"/>
      <c r="E217" s="507"/>
      <c r="F217" s="507"/>
      <c r="G217" s="507"/>
      <c r="H217" s="507"/>
      <c r="I217" s="507"/>
      <c r="J217" s="507"/>
      <c r="K217" s="573"/>
      <c r="L217" s="507"/>
      <c r="M217" s="507"/>
      <c r="N217" s="507"/>
    </row>
    <row r="218" spans="1:26" x14ac:dyDescent="0.2">
      <c r="B218" s="507"/>
      <c r="C218" s="507"/>
      <c r="D218" s="507"/>
      <c r="E218" s="507"/>
      <c r="F218" s="507"/>
      <c r="G218" s="507"/>
      <c r="H218" s="507"/>
      <c r="I218" s="507"/>
      <c r="J218" s="507"/>
      <c r="K218" s="573"/>
      <c r="L218" s="507"/>
      <c r="M218" s="507"/>
      <c r="N218" s="507"/>
    </row>
    <row r="219" spans="1:26" x14ac:dyDescent="0.2">
      <c r="B219" s="507"/>
      <c r="C219" s="507"/>
      <c r="D219" s="507"/>
      <c r="E219" s="507"/>
      <c r="F219" s="507"/>
      <c r="G219" s="507"/>
      <c r="H219" s="507"/>
      <c r="I219" s="507"/>
      <c r="J219" s="507"/>
      <c r="K219" s="573"/>
      <c r="L219" s="507"/>
      <c r="M219" s="507"/>
      <c r="N219" s="507"/>
    </row>
    <row r="220" spans="1:26" x14ac:dyDescent="0.2">
      <c r="B220" s="507"/>
      <c r="C220" s="507"/>
      <c r="D220" s="507"/>
      <c r="E220" s="507"/>
      <c r="F220" s="507"/>
      <c r="G220" s="507"/>
      <c r="H220" s="507"/>
      <c r="I220" s="507"/>
      <c r="J220" s="507"/>
      <c r="K220" s="573"/>
      <c r="L220" s="507"/>
      <c r="M220" s="507"/>
      <c r="N220" s="507"/>
    </row>
    <row r="221" spans="1:26" x14ac:dyDescent="0.2">
      <c r="B221" s="507"/>
      <c r="C221" s="507"/>
      <c r="D221" s="507"/>
      <c r="E221" s="507"/>
      <c r="F221" s="507"/>
      <c r="G221" s="507"/>
      <c r="H221" s="507"/>
      <c r="I221" s="507"/>
      <c r="J221" s="507"/>
      <c r="K221" s="573"/>
      <c r="L221" s="507"/>
      <c r="M221" s="507"/>
      <c r="N221" s="507"/>
    </row>
    <row r="222" spans="1:26" x14ac:dyDescent="0.2">
      <c r="B222" s="507"/>
      <c r="C222" s="507"/>
      <c r="D222" s="507"/>
      <c r="E222" s="507"/>
      <c r="F222" s="507"/>
      <c r="G222" s="507"/>
      <c r="H222" s="507"/>
      <c r="I222" s="507"/>
      <c r="J222" s="507"/>
      <c r="K222" s="573"/>
      <c r="L222" s="507"/>
      <c r="M222" s="507"/>
      <c r="N222" s="507"/>
    </row>
    <row r="223" spans="1:26" x14ac:dyDescent="0.2">
      <c r="B223" s="507"/>
      <c r="C223" s="507"/>
      <c r="D223" s="507"/>
      <c r="E223" s="507"/>
      <c r="F223" s="507"/>
      <c r="G223" s="507"/>
      <c r="H223" s="507"/>
      <c r="I223" s="507"/>
      <c r="J223" s="507"/>
      <c r="K223" s="573"/>
      <c r="L223" s="507"/>
      <c r="M223" s="507"/>
      <c r="N223" s="507"/>
    </row>
    <row r="224" spans="1:26" x14ac:dyDescent="0.2">
      <c r="B224" s="507"/>
      <c r="C224" s="507"/>
      <c r="D224" s="507"/>
      <c r="E224" s="507"/>
      <c r="F224" s="507"/>
      <c r="G224" s="507"/>
      <c r="H224" s="507"/>
      <c r="I224" s="507"/>
      <c r="J224" s="507"/>
      <c r="K224" s="573"/>
      <c r="L224" s="507"/>
      <c r="M224" s="507"/>
      <c r="N224" s="507"/>
    </row>
    <row r="225" spans="2:14" x14ac:dyDescent="0.2">
      <c r="B225" s="507"/>
      <c r="C225" s="507"/>
      <c r="D225" s="507"/>
      <c r="E225" s="507"/>
      <c r="F225" s="507"/>
      <c r="G225" s="507"/>
      <c r="H225" s="507"/>
      <c r="I225" s="507"/>
      <c r="J225" s="507"/>
      <c r="K225" s="573"/>
      <c r="L225" s="507"/>
      <c r="M225" s="507"/>
      <c r="N225" s="507"/>
    </row>
    <row r="226" spans="2:14" x14ac:dyDescent="0.2">
      <c r="B226" s="507"/>
      <c r="C226" s="507"/>
      <c r="D226" s="507"/>
      <c r="E226" s="507"/>
      <c r="F226" s="507"/>
      <c r="G226" s="507"/>
      <c r="H226" s="507"/>
      <c r="I226" s="507"/>
      <c r="J226" s="507"/>
      <c r="K226" s="573"/>
      <c r="L226" s="507"/>
      <c r="M226" s="507"/>
      <c r="N226" s="507"/>
    </row>
    <row r="227" spans="2:14" x14ac:dyDescent="0.2">
      <c r="B227" s="507"/>
      <c r="C227" s="507"/>
      <c r="D227" s="507"/>
      <c r="E227" s="507"/>
      <c r="F227" s="507"/>
      <c r="G227" s="507"/>
      <c r="H227" s="507"/>
      <c r="I227" s="507"/>
      <c r="J227" s="507"/>
      <c r="K227" s="573"/>
      <c r="L227" s="507"/>
      <c r="M227" s="507"/>
      <c r="N227" s="507"/>
    </row>
    <row r="228" spans="2:14" x14ac:dyDescent="0.2">
      <c r="B228" s="507"/>
      <c r="C228" s="507"/>
      <c r="D228" s="507"/>
      <c r="E228" s="507"/>
      <c r="F228" s="507"/>
      <c r="G228" s="507"/>
      <c r="H228" s="507"/>
      <c r="I228" s="507"/>
      <c r="J228" s="507"/>
      <c r="K228" s="573"/>
      <c r="L228" s="507"/>
      <c r="M228" s="507"/>
      <c r="N228" s="507"/>
    </row>
    <row r="229" spans="2:14" x14ac:dyDescent="0.2">
      <c r="B229" s="507"/>
      <c r="C229" s="507"/>
      <c r="D229" s="507"/>
      <c r="E229" s="507"/>
      <c r="F229" s="507"/>
      <c r="G229" s="507"/>
      <c r="H229" s="507"/>
      <c r="I229" s="507"/>
      <c r="J229" s="507"/>
      <c r="K229" s="573"/>
      <c r="L229" s="507"/>
      <c r="M229" s="507"/>
      <c r="N229" s="507"/>
    </row>
    <row r="230" spans="2:14" x14ac:dyDescent="0.2">
      <c r="B230" s="507"/>
      <c r="C230" s="507"/>
      <c r="D230" s="507"/>
      <c r="E230" s="507"/>
      <c r="F230" s="507"/>
      <c r="G230" s="507"/>
      <c r="H230" s="507"/>
      <c r="I230" s="507"/>
      <c r="J230" s="507"/>
      <c r="K230" s="573"/>
      <c r="L230" s="507"/>
      <c r="M230" s="507"/>
      <c r="N230" s="507"/>
    </row>
    <row r="231" spans="2:14" x14ac:dyDescent="0.2">
      <c r="B231" s="507"/>
      <c r="C231" s="507"/>
      <c r="D231" s="507"/>
      <c r="E231" s="507"/>
      <c r="F231" s="507"/>
      <c r="G231" s="507"/>
      <c r="H231" s="507"/>
      <c r="I231" s="507"/>
      <c r="J231" s="507"/>
      <c r="K231" s="573"/>
      <c r="L231" s="507"/>
      <c r="M231" s="507"/>
      <c r="N231" s="507"/>
    </row>
    <row r="232" spans="2:14" x14ac:dyDescent="0.2">
      <c r="B232" s="507"/>
      <c r="C232" s="507"/>
      <c r="D232" s="507"/>
      <c r="E232" s="507"/>
      <c r="F232" s="507"/>
      <c r="G232" s="507"/>
      <c r="H232" s="507"/>
      <c r="I232" s="507"/>
      <c r="J232" s="507"/>
      <c r="K232" s="573"/>
      <c r="L232" s="507"/>
      <c r="M232" s="507"/>
      <c r="N232" s="507"/>
    </row>
    <row r="233" spans="2:14" s="507" customFormat="1" x14ac:dyDescent="0.2">
      <c r="K233" s="573"/>
    </row>
    <row r="234" spans="2:14" s="507" customFormat="1" x14ac:dyDescent="0.2">
      <c r="K234" s="573"/>
    </row>
    <row r="235" spans="2:14" s="507" customFormat="1" x14ac:dyDescent="0.2">
      <c r="K235" s="573"/>
    </row>
    <row r="236" spans="2:14" s="507" customFormat="1" x14ac:dyDescent="0.2">
      <c r="K236" s="573"/>
    </row>
    <row r="237" spans="2:14" s="507" customFormat="1" x14ac:dyDescent="0.2">
      <c r="K237" s="573"/>
    </row>
    <row r="238" spans="2:14" s="507" customFormat="1" x14ac:dyDescent="0.2">
      <c r="K238" s="573"/>
    </row>
    <row r="239" spans="2:14" s="507" customFormat="1" x14ac:dyDescent="0.2">
      <c r="K239" s="573"/>
    </row>
    <row r="240" spans="2:14" s="507" customFormat="1" x14ac:dyDescent="0.2">
      <c r="K240" s="573"/>
    </row>
    <row r="241" spans="11:11" s="507" customFormat="1" x14ac:dyDescent="0.2">
      <c r="K241" s="573"/>
    </row>
    <row r="242" spans="11:11" s="507" customFormat="1" x14ac:dyDescent="0.2">
      <c r="K242" s="573"/>
    </row>
    <row r="243" spans="11:11" s="507" customFormat="1" x14ac:dyDescent="0.2">
      <c r="K243" s="573"/>
    </row>
    <row r="244" spans="11:11" s="507" customFormat="1" x14ac:dyDescent="0.2">
      <c r="K244" s="573"/>
    </row>
    <row r="245" spans="11:11" s="507" customFormat="1" x14ac:dyDescent="0.2">
      <c r="K245" s="573"/>
    </row>
    <row r="246" spans="11:11" s="507" customFormat="1" x14ac:dyDescent="0.2">
      <c r="K246" s="573"/>
    </row>
    <row r="247" spans="11:11" s="507" customFormat="1" x14ac:dyDescent="0.2">
      <c r="K247" s="573"/>
    </row>
    <row r="248" spans="11:11" s="507" customFormat="1" x14ac:dyDescent="0.2">
      <c r="K248" s="573"/>
    </row>
    <row r="249" spans="11:11" s="507" customFormat="1" x14ac:dyDescent="0.2">
      <c r="K249" s="573"/>
    </row>
    <row r="250" spans="11:11" s="507" customFormat="1" x14ac:dyDescent="0.2">
      <c r="K250" s="573"/>
    </row>
    <row r="251" spans="11:11" s="507" customFormat="1" x14ac:dyDescent="0.2">
      <c r="K251" s="573"/>
    </row>
    <row r="252" spans="11:11" s="507" customFormat="1" x14ac:dyDescent="0.2">
      <c r="K252" s="573"/>
    </row>
    <row r="253" spans="11:11" s="507" customFormat="1" x14ac:dyDescent="0.2">
      <c r="K253" s="573"/>
    </row>
    <row r="254" spans="11:11" s="507" customFormat="1" x14ac:dyDescent="0.2">
      <c r="K254" s="573"/>
    </row>
    <row r="255" spans="11:11" s="507" customFormat="1" x14ac:dyDescent="0.2">
      <c r="K255" s="573"/>
    </row>
    <row r="256" spans="11:11" s="507" customFormat="1" x14ac:dyDescent="0.2">
      <c r="K256" s="573"/>
    </row>
    <row r="257" spans="11:11" s="507" customFormat="1" x14ac:dyDescent="0.2">
      <c r="K257" s="573"/>
    </row>
    <row r="258" spans="11:11" s="507" customFormat="1" x14ac:dyDescent="0.2">
      <c r="K258" s="573"/>
    </row>
    <row r="259" spans="11:11" s="507" customFormat="1" x14ac:dyDescent="0.2">
      <c r="K259" s="573"/>
    </row>
    <row r="260" spans="11:11" s="507" customFormat="1" x14ac:dyDescent="0.2">
      <c r="K260" s="573"/>
    </row>
    <row r="261" spans="11:11" s="507" customFormat="1" x14ac:dyDescent="0.2">
      <c r="K261" s="573"/>
    </row>
    <row r="262" spans="11:11" s="507" customFormat="1" x14ac:dyDescent="0.2">
      <c r="K262" s="573"/>
    </row>
    <row r="263" spans="11:11" s="507" customFormat="1" x14ac:dyDescent="0.2">
      <c r="K263" s="573"/>
    </row>
    <row r="264" spans="11:11" s="507" customFormat="1" x14ac:dyDescent="0.2">
      <c r="K264" s="573"/>
    </row>
    <row r="265" spans="11:11" s="507" customFormat="1" x14ac:dyDescent="0.2">
      <c r="K265" s="573"/>
    </row>
    <row r="266" spans="11:11" s="507" customFormat="1" x14ac:dyDescent="0.2">
      <c r="K266" s="573"/>
    </row>
    <row r="267" spans="11:11" s="507" customFormat="1" x14ac:dyDescent="0.2">
      <c r="K267" s="573"/>
    </row>
    <row r="268" spans="11:11" s="507" customFormat="1" x14ac:dyDescent="0.2">
      <c r="K268" s="573"/>
    </row>
    <row r="269" spans="11:11" s="507" customFormat="1" x14ac:dyDescent="0.2">
      <c r="K269" s="573"/>
    </row>
    <row r="270" spans="11:11" s="507" customFormat="1" x14ac:dyDescent="0.2">
      <c r="K270" s="573"/>
    </row>
    <row r="271" spans="11:11" s="507" customFormat="1" x14ac:dyDescent="0.2">
      <c r="K271" s="573"/>
    </row>
    <row r="272" spans="11:11" s="507" customFormat="1" x14ac:dyDescent="0.2">
      <c r="K272" s="573"/>
    </row>
    <row r="273" spans="11:11" s="507" customFormat="1" x14ac:dyDescent="0.2">
      <c r="K273" s="573"/>
    </row>
    <row r="274" spans="11:11" s="507" customFormat="1" x14ac:dyDescent="0.2">
      <c r="K274" s="573"/>
    </row>
    <row r="275" spans="11:11" s="507" customFormat="1" x14ac:dyDescent="0.2">
      <c r="K275" s="573"/>
    </row>
    <row r="276" spans="11:11" s="507" customFormat="1" x14ac:dyDescent="0.2">
      <c r="K276" s="573"/>
    </row>
    <row r="277" spans="11:11" s="507" customFormat="1" x14ac:dyDescent="0.2">
      <c r="K277" s="573"/>
    </row>
    <row r="278" spans="11:11" s="507" customFormat="1" x14ac:dyDescent="0.2">
      <c r="K278" s="573"/>
    </row>
    <row r="279" spans="11:11" s="507" customFormat="1" x14ac:dyDescent="0.2">
      <c r="K279" s="573"/>
    </row>
    <row r="280" spans="11:11" s="507" customFormat="1" x14ac:dyDescent="0.2">
      <c r="K280" s="573"/>
    </row>
    <row r="281" spans="11:11" s="507" customFormat="1" x14ac:dyDescent="0.2">
      <c r="K281" s="573"/>
    </row>
    <row r="282" spans="11:11" s="507" customFormat="1" x14ac:dyDescent="0.2">
      <c r="K282" s="573"/>
    </row>
    <row r="283" spans="11:11" s="507" customFormat="1" x14ac:dyDescent="0.2">
      <c r="K283" s="573"/>
    </row>
    <row r="284" spans="11:11" s="507" customFormat="1" x14ac:dyDescent="0.2">
      <c r="K284" s="573"/>
    </row>
    <row r="285" spans="11:11" s="507" customFormat="1" x14ac:dyDescent="0.2">
      <c r="K285" s="573"/>
    </row>
    <row r="286" spans="11:11" s="507" customFormat="1" x14ac:dyDescent="0.2">
      <c r="K286" s="573"/>
    </row>
    <row r="287" spans="11:11" s="507" customFormat="1" x14ac:dyDescent="0.2">
      <c r="K287" s="573"/>
    </row>
    <row r="288" spans="11:11" s="507" customFormat="1" x14ac:dyDescent="0.2">
      <c r="K288" s="573"/>
    </row>
    <row r="289" spans="11:11" s="507" customFormat="1" x14ac:dyDescent="0.2">
      <c r="K289" s="573"/>
    </row>
    <row r="290" spans="11:11" s="507" customFormat="1" x14ac:dyDescent="0.2">
      <c r="K290" s="573"/>
    </row>
    <row r="291" spans="11:11" s="507" customFormat="1" x14ac:dyDescent="0.2">
      <c r="K291" s="573"/>
    </row>
    <row r="292" spans="11:11" s="507" customFormat="1" x14ac:dyDescent="0.2">
      <c r="K292" s="573"/>
    </row>
    <row r="293" spans="11:11" s="507" customFormat="1" x14ac:dyDescent="0.2">
      <c r="K293" s="573"/>
    </row>
    <row r="294" spans="11:11" s="507" customFormat="1" x14ac:dyDescent="0.2">
      <c r="K294" s="573"/>
    </row>
    <row r="295" spans="11:11" s="507" customFormat="1" x14ac:dyDescent="0.2">
      <c r="K295" s="573"/>
    </row>
    <row r="296" spans="11:11" s="507" customFormat="1" x14ac:dyDescent="0.2">
      <c r="K296" s="573"/>
    </row>
    <row r="297" spans="11:11" s="507" customFormat="1" x14ac:dyDescent="0.2">
      <c r="K297" s="573"/>
    </row>
    <row r="298" spans="11:11" s="507" customFormat="1" x14ac:dyDescent="0.2">
      <c r="K298" s="573"/>
    </row>
    <row r="299" spans="11:11" s="507" customFormat="1" x14ac:dyDescent="0.2">
      <c r="K299" s="573"/>
    </row>
    <row r="300" spans="11:11" s="507" customFormat="1" x14ac:dyDescent="0.2">
      <c r="K300" s="573"/>
    </row>
    <row r="301" spans="11:11" s="507" customFormat="1" x14ac:dyDescent="0.2">
      <c r="K301" s="573"/>
    </row>
    <row r="302" spans="11:11" s="507" customFormat="1" x14ac:dyDescent="0.2">
      <c r="K302" s="573"/>
    </row>
    <row r="303" spans="11:11" s="507" customFormat="1" x14ac:dyDescent="0.2">
      <c r="K303" s="573"/>
    </row>
    <row r="304" spans="11:11" s="507" customFormat="1" x14ac:dyDescent="0.2">
      <c r="K304" s="573"/>
    </row>
    <row r="305" spans="11:11" s="507" customFormat="1" x14ac:dyDescent="0.2">
      <c r="K305" s="573"/>
    </row>
    <row r="306" spans="11:11" s="507" customFormat="1" x14ac:dyDescent="0.2">
      <c r="K306" s="573"/>
    </row>
    <row r="307" spans="11:11" s="507" customFormat="1" x14ac:dyDescent="0.2">
      <c r="K307" s="573"/>
    </row>
    <row r="308" spans="11:11" s="507" customFormat="1" x14ac:dyDescent="0.2">
      <c r="K308" s="573"/>
    </row>
    <row r="309" spans="11:11" s="507" customFormat="1" x14ac:dyDescent="0.2">
      <c r="K309" s="573"/>
    </row>
    <row r="310" spans="11:11" s="507" customFormat="1" x14ac:dyDescent="0.2">
      <c r="K310" s="573"/>
    </row>
    <row r="311" spans="11:11" s="507" customFormat="1" x14ac:dyDescent="0.2">
      <c r="K311" s="573"/>
    </row>
    <row r="312" spans="11:11" s="507" customFormat="1" x14ac:dyDescent="0.2">
      <c r="K312" s="573"/>
    </row>
    <row r="313" spans="11:11" s="507" customFormat="1" x14ac:dyDescent="0.2">
      <c r="K313" s="573"/>
    </row>
    <row r="314" spans="11:11" s="507" customFormat="1" x14ac:dyDescent="0.2">
      <c r="K314" s="573"/>
    </row>
    <row r="315" spans="11:11" s="507" customFormat="1" x14ac:dyDescent="0.2">
      <c r="K315" s="573"/>
    </row>
    <row r="316" spans="11:11" s="507" customFormat="1" x14ac:dyDescent="0.2">
      <c r="K316" s="573"/>
    </row>
    <row r="317" spans="11:11" s="507" customFormat="1" x14ac:dyDescent="0.2">
      <c r="K317" s="573"/>
    </row>
    <row r="318" spans="11:11" s="507" customFormat="1" x14ac:dyDescent="0.2">
      <c r="K318" s="573"/>
    </row>
    <row r="319" spans="11:11" s="507" customFormat="1" x14ac:dyDescent="0.2">
      <c r="K319" s="573"/>
    </row>
    <row r="320" spans="11:11" s="507" customFormat="1" x14ac:dyDescent="0.2">
      <c r="K320" s="573"/>
    </row>
    <row r="321" spans="11:11" s="507" customFormat="1" x14ac:dyDescent="0.2">
      <c r="K321" s="573"/>
    </row>
    <row r="322" spans="11:11" s="507" customFormat="1" x14ac:dyDescent="0.2">
      <c r="K322" s="573"/>
    </row>
    <row r="323" spans="11:11" s="507" customFormat="1" x14ac:dyDescent="0.2">
      <c r="K323" s="573"/>
    </row>
    <row r="324" spans="11:11" s="507" customFormat="1" x14ac:dyDescent="0.2">
      <c r="K324" s="573"/>
    </row>
    <row r="325" spans="11:11" s="507" customFormat="1" x14ac:dyDescent="0.2">
      <c r="K325" s="573"/>
    </row>
    <row r="326" spans="11:11" s="507" customFormat="1" x14ac:dyDescent="0.2">
      <c r="K326" s="573"/>
    </row>
    <row r="327" spans="11:11" s="507" customFormat="1" x14ac:dyDescent="0.2">
      <c r="K327" s="573"/>
    </row>
    <row r="328" spans="11:11" s="507" customFormat="1" x14ac:dyDescent="0.2">
      <c r="K328" s="573"/>
    </row>
    <row r="329" spans="11:11" s="507" customFormat="1" x14ac:dyDescent="0.2">
      <c r="K329" s="573"/>
    </row>
    <row r="330" spans="11:11" s="507" customFormat="1" x14ac:dyDescent="0.2">
      <c r="K330" s="573"/>
    </row>
    <row r="331" spans="11:11" s="507" customFormat="1" x14ac:dyDescent="0.2">
      <c r="K331" s="573"/>
    </row>
    <row r="332" spans="11:11" s="507" customFormat="1" x14ac:dyDescent="0.2">
      <c r="K332" s="573"/>
    </row>
    <row r="333" spans="11:11" s="507" customFormat="1" x14ac:dyDescent="0.2">
      <c r="K333" s="573"/>
    </row>
    <row r="334" spans="11:11" s="507" customFormat="1" x14ac:dyDescent="0.2">
      <c r="K334" s="573"/>
    </row>
    <row r="335" spans="11:11" s="507" customFormat="1" x14ac:dyDescent="0.2">
      <c r="K335" s="573"/>
    </row>
    <row r="336" spans="11:11" s="507" customFormat="1" x14ac:dyDescent="0.2">
      <c r="K336" s="573"/>
    </row>
    <row r="337" spans="11:11" s="507" customFormat="1" x14ac:dyDescent="0.2">
      <c r="K337" s="573"/>
    </row>
    <row r="338" spans="11:11" s="507" customFormat="1" x14ac:dyDescent="0.2">
      <c r="K338" s="573"/>
    </row>
    <row r="339" spans="11:11" s="507" customFormat="1" x14ac:dyDescent="0.2">
      <c r="K339" s="573"/>
    </row>
    <row r="340" spans="11:11" s="507" customFormat="1" x14ac:dyDescent="0.2">
      <c r="K340" s="573"/>
    </row>
    <row r="341" spans="11:11" s="507" customFormat="1" x14ac:dyDescent="0.2">
      <c r="K341" s="573"/>
    </row>
    <row r="342" spans="11:11" s="507" customFormat="1" x14ac:dyDescent="0.2">
      <c r="K342" s="573"/>
    </row>
    <row r="343" spans="11:11" s="507" customFormat="1" x14ac:dyDescent="0.2">
      <c r="K343" s="573"/>
    </row>
    <row r="344" spans="11:11" s="507" customFormat="1" x14ac:dyDescent="0.2">
      <c r="K344" s="573"/>
    </row>
    <row r="345" spans="11:11" s="507" customFormat="1" x14ac:dyDescent="0.2">
      <c r="K345" s="573"/>
    </row>
    <row r="346" spans="11:11" s="507" customFormat="1" x14ac:dyDescent="0.2">
      <c r="K346" s="573"/>
    </row>
    <row r="347" spans="11:11" s="507" customFormat="1" x14ac:dyDescent="0.2">
      <c r="K347" s="573"/>
    </row>
    <row r="348" spans="11:11" s="507" customFormat="1" x14ac:dyDescent="0.2">
      <c r="K348" s="573"/>
    </row>
    <row r="349" spans="11:11" s="507" customFormat="1" x14ac:dyDescent="0.2">
      <c r="K349" s="573"/>
    </row>
    <row r="350" spans="11:11" s="507" customFormat="1" x14ac:dyDescent="0.2">
      <c r="K350" s="573"/>
    </row>
    <row r="351" spans="11:11" s="507" customFormat="1" x14ac:dyDescent="0.2">
      <c r="K351" s="573"/>
    </row>
    <row r="352" spans="11:11" s="507" customFormat="1" x14ac:dyDescent="0.2">
      <c r="K352" s="573"/>
    </row>
    <row r="353" spans="11:11" s="507" customFormat="1" x14ac:dyDescent="0.2">
      <c r="K353" s="573"/>
    </row>
    <row r="354" spans="11:11" s="507" customFormat="1" x14ac:dyDescent="0.2">
      <c r="K354" s="573"/>
    </row>
    <row r="355" spans="11:11" s="507" customFormat="1" x14ac:dyDescent="0.2">
      <c r="K355" s="573"/>
    </row>
    <row r="356" spans="11:11" s="507" customFormat="1" x14ac:dyDescent="0.2">
      <c r="K356" s="573"/>
    </row>
    <row r="357" spans="11:11" s="507" customFormat="1" x14ac:dyDescent="0.2">
      <c r="K357" s="573"/>
    </row>
    <row r="358" spans="11:11" s="507" customFormat="1" x14ac:dyDescent="0.2">
      <c r="K358" s="573"/>
    </row>
    <row r="359" spans="11:11" s="507" customFormat="1" x14ac:dyDescent="0.2">
      <c r="K359" s="573"/>
    </row>
    <row r="360" spans="11:11" s="507" customFormat="1" x14ac:dyDescent="0.2">
      <c r="K360" s="573"/>
    </row>
    <row r="361" spans="11:11" s="507" customFormat="1" x14ac:dyDescent="0.2">
      <c r="K361" s="573"/>
    </row>
    <row r="362" spans="11:11" s="507" customFormat="1" x14ac:dyDescent="0.2">
      <c r="K362" s="573"/>
    </row>
    <row r="363" spans="11:11" s="507" customFormat="1" x14ac:dyDescent="0.2">
      <c r="K363" s="573"/>
    </row>
    <row r="364" spans="11:11" s="507" customFormat="1" x14ac:dyDescent="0.2">
      <c r="K364" s="573"/>
    </row>
    <row r="365" spans="11:11" s="507" customFormat="1" x14ac:dyDescent="0.2">
      <c r="K365" s="573"/>
    </row>
    <row r="366" spans="11:11" s="507" customFormat="1" x14ac:dyDescent="0.2">
      <c r="K366" s="573"/>
    </row>
    <row r="367" spans="11:11" s="507" customFormat="1" x14ac:dyDescent="0.2">
      <c r="K367" s="573"/>
    </row>
    <row r="368" spans="11:11" s="507" customFormat="1" x14ac:dyDescent="0.2">
      <c r="K368" s="573"/>
    </row>
    <row r="369" spans="11:11" s="507" customFormat="1" x14ac:dyDescent="0.2">
      <c r="K369" s="573"/>
    </row>
    <row r="370" spans="11:11" s="507" customFormat="1" x14ac:dyDescent="0.2">
      <c r="K370" s="573"/>
    </row>
    <row r="371" spans="11:11" s="507" customFormat="1" x14ac:dyDescent="0.2">
      <c r="K371" s="573"/>
    </row>
    <row r="372" spans="11:11" s="507" customFormat="1" x14ac:dyDescent="0.2">
      <c r="K372" s="573"/>
    </row>
    <row r="373" spans="11:11" s="507" customFormat="1" x14ac:dyDescent="0.2">
      <c r="K373" s="573"/>
    </row>
    <row r="374" spans="11:11" s="507" customFormat="1" x14ac:dyDescent="0.2">
      <c r="K374" s="573"/>
    </row>
    <row r="375" spans="11:11" s="507" customFormat="1" x14ac:dyDescent="0.2">
      <c r="K375" s="573"/>
    </row>
    <row r="376" spans="11:11" s="507" customFormat="1" x14ac:dyDescent="0.2">
      <c r="K376" s="573"/>
    </row>
    <row r="377" spans="11:11" s="507" customFormat="1" x14ac:dyDescent="0.2">
      <c r="K377" s="573"/>
    </row>
    <row r="378" spans="11:11" s="507" customFormat="1" x14ac:dyDescent="0.2">
      <c r="K378" s="573"/>
    </row>
    <row r="379" spans="11:11" s="507" customFormat="1" x14ac:dyDescent="0.2">
      <c r="K379" s="573"/>
    </row>
    <row r="380" spans="11:11" s="507" customFormat="1" x14ac:dyDescent="0.2">
      <c r="K380" s="573"/>
    </row>
    <row r="381" spans="11:11" s="507" customFormat="1" x14ac:dyDescent="0.2">
      <c r="K381" s="573"/>
    </row>
    <row r="382" spans="11:11" s="507" customFormat="1" x14ac:dyDescent="0.2">
      <c r="K382" s="573"/>
    </row>
    <row r="383" spans="11:11" s="507" customFormat="1" x14ac:dyDescent="0.2">
      <c r="K383" s="573"/>
    </row>
    <row r="384" spans="11:11" s="507" customFormat="1" x14ac:dyDescent="0.2">
      <c r="K384" s="573"/>
    </row>
    <row r="385" spans="11:11" s="507" customFormat="1" x14ac:dyDescent="0.2">
      <c r="K385" s="573"/>
    </row>
    <row r="386" spans="11:11" s="507" customFormat="1" x14ac:dyDescent="0.2">
      <c r="K386" s="573"/>
    </row>
    <row r="387" spans="11:11" s="507" customFormat="1" x14ac:dyDescent="0.2">
      <c r="K387" s="573"/>
    </row>
    <row r="388" spans="11:11" s="507" customFormat="1" x14ac:dyDescent="0.2">
      <c r="K388" s="573"/>
    </row>
    <row r="389" spans="11:11" s="507" customFormat="1" x14ac:dyDescent="0.2">
      <c r="K389" s="573"/>
    </row>
    <row r="390" spans="11:11" s="507" customFormat="1" x14ac:dyDescent="0.2">
      <c r="K390" s="573"/>
    </row>
    <row r="391" spans="11:11" s="507" customFormat="1" x14ac:dyDescent="0.2">
      <c r="K391" s="573"/>
    </row>
    <row r="392" spans="11:11" s="507" customFormat="1" x14ac:dyDescent="0.2">
      <c r="K392" s="573"/>
    </row>
    <row r="393" spans="11:11" s="507" customFormat="1" x14ac:dyDescent="0.2">
      <c r="K393" s="573"/>
    </row>
    <row r="394" spans="11:11" s="507" customFormat="1" x14ac:dyDescent="0.2">
      <c r="K394" s="573"/>
    </row>
    <row r="395" spans="11:11" s="507" customFormat="1" x14ac:dyDescent="0.2">
      <c r="K395" s="573"/>
    </row>
    <row r="396" spans="11:11" s="507" customFormat="1" x14ac:dyDescent="0.2">
      <c r="K396" s="573"/>
    </row>
    <row r="397" spans="11:11" s="507" customFormat="1" x14ac:dyDescent="0.2">
      <c r="K397" s="573"/>
    </row>
    <row r="398" spans="11:11" s="507" customFormat="1" x14ac:dyDescent="0.2">
      <c r="K398" s="573"/>
    </row>
    <row r="399" spans="11:11" s="507" customFormat="1" x14ac:dyDescent="0.2">
      <c r="K399" s="573"/>
    </row>
    <row r="400" spans="11:11" s="507" customFormat="1" x14ac:dyDescent="0.2">
      <c r="K400" s="573"/>
    </row>
    <row r="401" spans="11:11" s="507" customFormat="1" x14ac:dyDescent="0.2">
      <c r="K401" s="573"/>
    </row>
    <row r="402" spans="11:11" s="507" customFormat="1" x14ac:dyDescent="0.2">
      <c r="K402" s="573"/>
    </row>
    <row r="403" spans="11:11" s="507" customFormat="1" x14ac:dyDescent="0.2">
      <c r="K403" s="573"/>
    </row>
    <row r="404" spans="11:11" s="507" customFormat="1" x14ac:dyDescent="0.2">
      <c r="K404" s="573"/>
    </row>
    <row r="405" spans="11:11" s="507" customFormat="1" x14ac:dyDescent="0.2">
      <c r="K405" s="573"/>
    </row>
    <row r="406" spans="11:11" s="507" customFormat="1" x14ac:dyDescent="0.2">
      <c r="K406" s="573"/>
    </row>
    <row r="407" spans="11:11" s="507" customFormat="1" x14ac:dyDescent="0.2">
      <c r="K407" s="573"/>
    </row>
    <row r="408" spans="11:11" s="507" customFormat="1" x14ac:dyDescent="0.2">
      <c r="K408" s="573"/>
    </row>
    <row r="409" spans="11:11" s="507" customFormat="1" x14ac:dyDescent="0.2">
      <c r="K409" s="573"/>
    </row>
    <row r="410" spans="11:11" s="507" customFormat="1" x14ac:dyDescent="0.2">
      <c r="K410" s="573"/>
    </row>
    <row r="411" spans="11:11" s="507" customFormat="1" x14ac:dyDescent="0.2">
      <c r="K411" s="573"/>
    </row>
    <row r="412" spans="11:11" s="507" customFormat="1" x14ac:dyDescent="0.2">
      <c r="K412" s="573"/>
    </row>
    <row r="413" spans="11:11" s="507" customFormat="1" x14ac:dyDescent="0.2">
      <c r="K413" s="573"/>
    </row>
    <row r="414" spans="11:11" s="507" customFormat="1" x14ac:dyDescent="0.2">
      <c r="K414" s="573"/>
    </row>
    <row r="415" spans="11:11" s="507" customFormat="1" x14ac:dyDescent="0.2">
      <c r="K415" s="573"/>
    </row>
    <row r="416" spans="11:11" s="507" customFormat="1" x14ac:dyDescent="0.2">
      <c r="K416" s="573"/>
    </row>
    <row r="417" spans="11:11" s="507" customFormat="1" x14ac:dyDescent="0.2">
      <c r="K417" s="573"/>
    </row>
    <row r="418" spans="11:11" s="507" customFormat="1" x14ac:dyDescent="0.2">
      <c r="K418" s="573"/>
    </row>
    <row r="419" spans="11:11" s="507" customFormat="1" x14ac:dyDescent="0.2">
      <c r="K419" s="573"/>
    </row>
    <row r="420" spans="11:11" s="507" customFormat="1" x14ac:dyDescent="0.2">
      <c r="K420" s="573"/>
    </row>
    <row r="421" spans="11:11" s="507" customFormat="1" x14ac:dyDescent="0.2">
      <c r="K421" s="573"/>
    </row>
    <row r="422" spans="11:11" s="507" customFormat="1" x14ac:dyDescent="0.2">
      <c r="K422" s="573"/>
    </row>
    <row r="423" spans="11:11" s="507" customFormat="1" x14ac:dyDescent="0.2">
      <c r="K423" s="573"/>
    </row>
    <row r="424" spans="11:11" s="507" customFormat="1" x14ac:dyDescent="0.2">
      <c r="K424" s="573"/>
    </row>
    <row r="425" spans="11:11" s="507" customFormat="1" x14ac:dyDescent="0.2">
      <c r="K425" s="573"/>
    </row>
    <row r="426" spans="11:11" s="507" customFormat="1" x14ac:dyDescent="0.2">
      <c r="K426" s="573"/>
    </row>
    <row r="427" spans="11:11" s="507" customFormat="1" x14ac:dyDescent="0.2">
      <c r="K427" s="573"/>
    </row>
    <row r="428" spans="11:11" s="507" customFormat="1" x14ac:dyDescent="0.2">
      <c r="K428" s="573"/>
    </row>
    <row r="429" spans="11:11" s="507" customFormat="1" x14ac:dyDescent="0.2">
      <c r="K429" s="573"/>
    </row>
    <row r="430" spans="11:11" s="507" customFormat="1" x14ac:dyDescent="0.2">
      <c r="K430" s="573"/>
    </row>
    <row r="431" spans="11:11" s="507" customFormat="1" x14ac:dyDescent="0.2">
      <c r="K431" s="573"/>
    </row>
    <row r="432" spans="11:11" s="507" customFormat="1" x14ac:dyDescent="0.2">
      <c r="K432" s="573"/>
    </row>
    <row r="433" spans="11:11" s="507" customFormat="1" x14ac:dyDescent="0.2">
      <c r="K433" s="573"/>
    </row>
    <row r="434" spans="11:11" s="507" customFormat="1" x14ac:dyDescent="0.2">
      <c r="K434" s="573"/>
    </row>
    <row r="435" spans="11:11" s="507" customFormat="1" x14ac:dyDescent="0.2">
      <c r="K435" s="573"/>
    </row>
    <row r="436" spans="11:11" s="507" customFormat="1" x14ac:dyDescent="0.2">
      <c r="K436" s="573"/>
    </row>
    <row r="437" spans="11:11" s="507" customFormat="1" x14ac:dyDescent="0.2">
      <c r="K437" s="573"/>
    </row>
    <row r="438" spans="11:11" s="507" customFormat="1" x14ac:dyDescent="0.2">
      <c r="K438" s="573"/>
    </row>
    <row r="439" spans="11:11" s="507" customFormat="1" x14ac:dyDescent="0.2">
      <c r="K439" s="573"/>
    </row>
    <row r="440" spans="11:11" s="507" customFormat="1" x14ac:dyDescent="0.2">
      <c r="K440" s="573"/>
    </row>
    <row r="441" spans="11:11" s="507" customFormat="1" x14ac:dyDescent="0.2">
      <c r="K441" s="573"/>
    </row>
    <row r="442" spans="11:11" s="507" customFormat="1" x14ac:dyDescent="0.2">
      <c r="K442" s="573"/>
    </row>
    <row r="443" spans="11:11" s="507" customFormat="1" x14ac:dyDescent="0.2">
      <c r="K443" s="573"/>
    </row>
    <row r="444" spans="11:11" s="507" customFormat="1" x14ac:dyDescent="0.2">
      <c r="K444" s="573"/>
    </row>
    <row r="445" spans="11:11" s="507" customFormat="1" x14ac:dyDescent="0.2">
      <c r="K445" s="573"/>
    </row>
    <row r="446" spans="11:11" s="507" customFormat="1" x14ac:dyDescent="0.2">
      <c r="K446" s="573"/>
    </row>
    <row r="447" spans="11:11" s="507" customFormat="1" x14ac:dyDescent="0.2">
      <c r="K447" s="573"/>
    </row>
    <row r="448" spans="11:11" s="507" customFormat="1" x14ac:dyDescent="0.2">
      <c r="K448" s="573"/>
    </row>
    <row r="449" spans="11:11" s="507" customFormat="1" x14ac:dyDescent="0.2">
      <c r="K449" s="573"/>
    </row>
    <row r="450" spans="11:11" s="507" customFormat="1" x14ac:dyDescent="0.2">
      <c r="K450" s="573"/>
    </row>
    <row r="451" spans="11:11" s="507" customFormat="1" x14ac:dyDescent="0.2">
      <c r="K451" s="573"/>
    </row>
    <row r="452" spans="11:11" s="507" customFormat="1" x14ac:dyDescent="0.2">
      <c r="K452" s="573"/>
    </row>
    <row r="453" spans="11:11" s="507" customFormat="1" x14ac:dyDescent="0.2">
      <c r="K453" s="573"/>
    </row>
    <row r="454" spans="11:11" s="507" customFormat="1" x14ac:dyDescent="0.2">
      <c r="K454" s="573"/>
    </row>
    <row r="455" spans="11:11" s="507" customFormat="1" x14ac:dyDescent="0.2">
      <c r="K455" s="573"/>
    </row>
    <row r="456" spans="11:11" s="507" customFormat="1" x14ac:dyDescent="0.2">
      <c r="K456" s="573"/>
    </row>
    <row r="457" spans="11:11" s="507" customFormat="1" x14ac:dyDescent="0.2">
      <c r="K457" s="573"/>
    </row>
    <row r="458" spans="11:11" s="507" customFormat="1" x14ac:dyDescent="0.2">
      <c r="K458" s="573"/>
    </row>
    <row r="459" spans="11:11" s="507" customFormat="1" x14ac:dyDescent="0.2">
      <c r="K459" s="573"/>
    </row>
    <row r="460" spans="11:11" s="507" customFormat="1" x14ac:dyDescent="0.2">
      <c r="K460" s="573"/>
    </row>
    <row r="461" spans="11:11" s="507" customFormat="1" x14ac:dyDescent="0.2">
      <c r="K461" s="573"/>
    </row>
    <row r="462" spans="11:11" s="507" customFormat="1" x14ac:dyDescent="0.2">
      <c r="K462" s="573"/>
    </row>
    <row r="463" spans="11:11" s="507" customFormat="1" x14ac:dyDescent="0.2">
      <c r="K463" s="573"/>
    </row>
    <row r="464" spans="11:11" s="507" customFormat="1" x14ac:dyDescent="0.2">
      <c r="K464" s="573"/>
    </row>
    <row r="465" spans="11:11" s="507" customFormat="1" x14ac:dyDescent="0.2">
      <c r="K465" s="573"/>
    </row>
    <row r="466" spans="11:11" s="507" customFormat="1" x14ac:dyDescent="0.2">
      <c r="K466" s="573"/>
    </row>
    <row r="467" spans="11:11" s="507" customFormat="1" x14ac:dyDescent="0.2">
      <c r="K467" s="573"/>
    </row>
    <row r="468" spans="11:11" s="507" customFormat="1" x14ac:dyDescent="0.2">
      <c r="K468" s="573"/>
    </row>
    <row r="469" spans="11:11" s="507" customFormat="1" x14ac:dyDescent="0.2">
      <c r="K469" s="573"/>
    </row>
    <row r="470" spans="11:11" s="507" customFormat="1" x14ac:dyDescent="0.2">
      <c r="K470" s="573"/>
    </row>
    <row r="471" spans="11:11" s="507" customFormat="1" x14ac:dyDescent="0.2">
      <c r="K471" s="573"/>
    </row>
    <row r="472" spans="11:11" s="507" customFormat="1" x14ac:dyDescent="0.2">
      <c r="K472" s="573"/>
    </row>
    <row r="473" spans="11:11" s="507" customFormat="1" x14ac:dyDescent="0.2">
      <c r="K473" s="573"/>
    </row>
    <row r="474" spans="11:11" s="507" customFormat="1" x14ac:dyDescent="0.2">
      <c r="K474" s="573"/>
    </row>
    <row r="475" spans="11:11" s="507" customFormat="1" x14ac:dyDescent="0.2">
      <c r="K475" s="573"/>
    </row>
    <row r="476" spans="11:11" s="507" customFormat="1" x14ac:dyDescent="0.2">
      <c r="K476" s="573"/>
    </row>
    <row r="477" spans="11:11" s="507" customFormat="1" x14ac:dyDescent="0.2">
      <c r="K477" s="573"/>
    </row>
    <row r="478" spans="11:11" s="507" customFormat="1" x14ac:dyDescent="0.2">
      <c r="K478" s="573"/>
    </row>
    <row r="479" spans="11:11" s="507" customFormat="1" x14ac:dyDescent="0.2">
      <c r="K479" s="573"/>
    </row>
    <row r="480" spans="11:11" s="507" customFormat="1" x14ac:dyDescent="0.2">
      <c r="K480" s="573"/>
    </row>
    <row r="481" spans="11:11" s="507" customFormat="1" x14ac:dyDescent="0.2">
      <c r="K481" s="573"/>
    </row>
    <row r="482" spans="11:11" s="507" customFormat="1" x14ac:dyDescent="0.2">
      <c r="K482" s="573"/>
    </row>
    <row r="483" spans="11:11" s="507" customFormat="1" x14ac:dyDescent="0.2">
      <c r="K483" s="573"/>
    </row>
    <row r="484" spans="11:11" s="507" customFormat="1" x14ac:dyDescent="0.2">
      <c r="K484" s="573"/>
    </row>
    <row r="485" spans="11:11" s="507" customFormat="1" x14ac:dyDescent="0.2">
      <c r="K485" s="573"/>
    </row>
    <row r="486" spans="11:11" s="507" customFormat="1" x14ac:dyDescent="0.2">
      <c r="K486" s="573"/>
    </row>
    <row r="487" spans="11:11" s="507" customFormat="1" x14ac:dyDescent="0.2">
      <c r="K487" s="573"/>
    </row>
  </sheetData>
  <sheetProtection password="E421" sheet="1" objects="1" scenarios="1"/>
  <mergeCells count="136">
    <mergeCell ref="A212:L212"/>
    <mergeCell ref="A213:L214"/>
    <mergeCell ref="D132:E132"/>
    <mergeCell ref="D133:E133"/>
    <mergeCell ref="D134:E134"/>
    <mergeCell ref="A207:L208"/>
    <mergeCell ref="A209:L209"/>
    <mergeCell ref="A210:L211"/>
    <mergeCell ref="D126:E126"/>
    <mergeCell ref="D127:E127"/>
    <mergeCell ref="D128:E128"/>
    <mergeCell ref="D129:E129"/>
    <mergeCell ref="D130:E130"/>
    <mergeCell ref="D131:E131"/>
    <mergeCell ref="G118:M119"/>
    <mergeCell ref="D121:E121"/>
    <mergeCell ref="D122:E122"/>
    <mergeCell ref="D123:E123"/>
    <mergeCell ref="D124:E124"/>
    <mergeCell ref="D125:E125"/>
    <mergeCell ref="B91:C91"/>
    <mergeCell ref="D91:M91"/>
    <mergeCell ref="B92:C92"/>
    <mergeCell ref="D92:M92"/>
    <mergeCell ref="B93:C93"/>
    <mergeCell ref="D93:M93"/>
    <mergeCell ref="D87:M87"/>
    <mergeCell ref="B88:M88"/>
    <mergeCell ref="B89:C89"/>
    <mergeCell ref="D89:M89"/>
    <mergeCell ref="B90:C90"/>
    <mergeCell ref="D90:M90"/>
    <mergeCell ref="B83:M83"/>
    <mergeCell ref="B84:C84"/>
    <mergeCell ref="D84:M84"/>
    <mergeCell ref="B85:C85"/>
    <mergeCell ref="D85:M85"/>
    <mergeCell ref="B86:C86"/>
    <mergeCell ref="D86:M86"/>
    <mergeCell ref="N75:N93"/>
    <mergeCell ref="B76:C76"/>
    <mergeCell ref="D76:M76"/>
    <mergeCell ref="B77:C77"/>
    <mergeCell ref="D77:M77"/>
    <mergeCell ref="B78:M78"/>
    <mergeCell ref="B79:C79"/>
    <mergeCell ref="B67:C67"/>
    <mergeCell ref="D67:M67"/>
    <mergeCell ref="D68:F68"/>
    <mergeCell ref="G68:I68"/>
    <mergeCell ref="D69:F73"/>
    <mergeCell ref="G69:I73"/>
    <mergeCell ref="D79:M79"/>
    <mergeCell ref="B80:C80"/>
    <mergeCell ref="D80:M80"/>
    <mergeCell ref="B81:C81"/>
    <mergeCell ref="D81:M81"/>
    <mergeCell ref="B82:C82"/>
    <mergeCell ref="D82:M82"/>
    <mergeCell ref="B74:C74"/>
    <mergeCell ref="D74:M74"/>
    <mergeCell ref="B75:M75"/>
    <mergeCell ref="B87:C87"/>
    <mergeCell ref="D59:F63"/>
    <mergeCell ref="G59:I63"/>
    <mergeCell ref="B64:C64"/>
    <mergeCell ref="D64:M64"/>
    <mergeCell ref="B65:M65"/>
    <mergeCell ref="B66:C66"/>
    <mergeCell ref="D66:M66"/>
    <mergeCell ref="B55:M55"/>
    <mergeCell ref="B56:C56"/>
    <mergeCell ref="D56:M56"/>
    <mergeCell ref="B57:C57"/>
    <mergeCell ref="D57:M57"/>
    <mergeCell ref="D58:F58"/>
    <mergeCell ref="G58:I58"/>
    <mergeCell ref="D48:F48"/>
    <mergeCell ref="G48:I48"/>
    <mergeCell ref="D49:F53"/>
    <mergeCell ref="G49:I53"/>
    <mergeCell ref="B54:C54"/>
    <mergeCell ref="D54:M54"/>
    <mergeCell ref="B44:C44"/>
    <mergeCell ref="D44:M44"/>
    <mergeCell ref="B45:M45"/>
    <mergeCell ref="B46:C46"/>
    <mergeCell ref="D46:M46"/>
    <mergeCell ref="B47:C47"/>
    <mergeCell ref="D47:M47"/>
    <mergeCell ref="B37:C37"/>
    <mergeCell ref="D37:M37"/>
    <mergeCell ref="D38:F38"/>
    <mergeCell ref="G38:I38"/>
    <mergeCell ref="D39:F43"/>
    <mergeCell ref="G39:I43"/>
    <mergeCell ref="D29:F33"/>
    <mergeCell ref="G29:I33"/>
    <mergeCell ref="B34:C34"/>
    <mergeCell ref="D34:M34"/>
    <mergeCell ref="B35:M35"/>
    <mergeCell ref="B36:C36"/>
    <mergeCell ref="D36:M36"/>
    <mergeCell ref="B23:C23"/>
    <mergeCell ref="B24:C24"/>
    <mergeCell ref="B25:C25"/>
    <mergeCell ref="B27:M27"/>
    <mergeCell ref="D28:F28"/>
    <mergeCell ref="G28:I28"/>
    <mergeCell ref="N15:N22"/>
    <mergeCell ref="B17:C17"/>
    <mergeCell ref="B18:C18"/>
    <mergeCell ref="B19:C19"/>
    <mergeCell ref="B20:C20"/>
    <mergeCell ref="B21:C21"/>
    <mergeCell ref="B22:C22"/>
    <mergeCell ref="B14:M14"/>
    <mergeCell ref="B15:C16"/>
    <mergeCell ref="D15:E15"/>
    <mergeCell ref="F15:G15"/>
    <mergeCell ref="H15:I15"/>
    <mergeCell ref="J15:K15"/>
    <mergeCell ref="L15:M15"/>
    <mergeCell ref="C10:M10"/>
    <mergeCell ref="C11:M11"/>
    <mergeCell ref="N11:N12"/>
    <mergeCell ref="C12:M12"/>
    <mergeCell ref="D13:F13"/>
    <mergeCell ref="G13:I13"/>
    <mergeCell ref="J13:M13"/>
    <mergeCell ref="B1:E1"/>
    <mergeCell ref="F1:M1"/>
    <mergeCell ref="B3:M3"/>
    <mergeCell ref="B4:M4"/>
    <mergeCell ref="B8:M8"/>
    <mergeCell ref="C9:M9"/>
  </mergeCells>
  <conditionalFormatting sqref="F1:M1">
    <cfRule type="containsText" dxfId="222" priority="43" operator="containsText" text="0">
      <formula>NOT(ISERROR(SEARCH("0",F1)))</formula>
    </cfRule>
  </conditionalFormatting>
  <conditionalFormatting sqref="C9:M10">
    <cfRule type="cellIs" dxfId="221" priority="42" operator="lessThanOrEqual">
      <formula>0</formula>
    </cfRule>
  </conditionalFormatting>
  <conditionalFormatting sqref="D79:M80 D84:M85 D90:M91">
    <cfRule type="containsErrors" dxfId="220" priority="41">
      <formula>ISERROR(D79)</formula>
    </cfRule>
  </conditionalFormatting>
  <conditionalFormatting sqref="D79:M79">
    <cfRule type="cellIs" dxfId="219" priority="39" operator="equal">
      <formula>0</formula>
    </cfRule>
  </conditionalFormatting>
  <conditionalFormatting sqref="E77:M77 D76:D77">
    <cfRule type="cellIs" dxfId="218" priority="37" operator="lessThanOrEqual">
      <formula>0</formula>
    </cfRule>
  </conditionalFormatting>
  <conditionalFormatting sqref="D81:M81">
    <cfRule type="cellIs" dxfId="217" priority="36" operator="lessThanOrEqual">
      <formula>0</formula>
    </cfRule>
  </conditionalFormatting>
  <conditionalFormatting sqref="D86:M86">
    <cfRule type="cellIs" dxfId="216" priority="35" operator="lessThanOrEqual">
      <formula>0</formula>
    </cfRule>
  </conditionalFormatting>
  <conditionalFormatting sqref="D92:M92">
    <cfRule type="cellIs" dxfId="215" priority="34" operator="lessThanOrEqual">
      <formula>0</formula>
    </cfRule>
  </conditionalFormatting>
  <conditionalFormatting sqref="C11:M12 D13 J13">
    <cfRule type="containsErrors" dxfId="214" priority="33">
      <formula>ISERROR(C11)</formula>
    </cfRule>
  </conditionalFormatting>
  <conditionalFormatting sqref="C12:M12 D13 J13">
    <cfRule type="cellIs" dxfId="213" priority="32" stopIfTrue="1" operator="lessThanOrEqual">
      <formula>0</formula>
    </cfRule>
  </conditionalFormatting>
  <conditionalFormatting sqref="B143:C152">
    <cfRule type="containsErrors" dxfId="212" priority="17">
      <formula>ISERROR(B143)</formula>
    </cfRule>
  </conditionalFormatting>
  <conditionalFormatting sqref="B153:C156">
    <cfRule type="containsErrors" dxfId="211" priority="16">
      <formula>ISERROR(B153)</formula>
    </cfRule>
  </conditionalFormatting>
  <conditionalFormatting sqref="B157:C160">
    <cfRule type="containsErrors" dxfId="210" priority="15">
      <formula>ISERROR(B157)</formula>
    </cfRule>
  </conditionalFormatting>
  <conditionalFormatting sqref="B161:C164">
    <cfRule type="containsErrors" dxfId="209" priority="14">
      <formula>ISERROR(B161)</formula>
    </cfRule>
  </conditionalFormatting>
  <conditionalFormatting sqref="B165:C168">
    <cfRule type="containsErrors" dxfId="208" priority="13">
      <formula>ISERROR(B165)</formula>
    </cfRule>
  </conditionalFormatting>
  <conditionalFormatting sqref="D29:D34 E29:F33 D54">
    <cfRule type="containsErrors" dxfId="207" priority="12">
      <formula>ISERROR(D29)</formula>
    </cfRule>
  </conditionalFormatting>
  <conditionalFormatting sqref="N43 N33:N34 N53 N63 N73">
    <cfRule type="containsErrors" dxfId="206" priority="11">
      <formula>ISERROR(N33)</formula>
    </cfRule>
  </conditionalFormatting>
  <conditionalFormatting sqref="D74:M74 D64:M64 D54:M54 D44:M44 D34:M34">
    <cfRule type="cellIs" dxfId="205" priority="10" stopIfTrue="1" operator="lessThanOrEqual">
      <formula>0</formula>
    </cfRule>
  </conditionalFormatting>
  <conditionalFormatting sqref="D29:F33">
    <cfRule type="cellIs" dxfId="204" priority="9" operator="lessThanOrEqual">
      <formula>0</formula>
    </cfRule>
  </conditionalFormatting>
  <conditionalFormatting sqref="D39:F43">
    <cfRule type="containsErrors" dxfId="203" priority="8">
      <formula>ISERROR(D39)</formula>
    </cfRule>
  </conditionalFormatting>
  <conditionalFormatting sqref="D39:F43">
    <cfRule type="cellIs" dxfId="202" priority="7" operator="lessThanOrEqual">
      <formula>0</formula>
    </cfRule>
  </conditionalFormatting>
  <conditionalFormatting sqref="D49:F53">
    <cfRule type="containsErrors" dxfId="201" priority="6">
      <formula>ISERROR(D49)</formula>
    </cfRule>
  </conditionalFormatting>
  <conditionalFormatting sqref="D49:F53">
    <cfRule type="cellIs" dxfId="200" priority="5" operator="lessThanOrEqual">
      <formula>0</formula>
    </cfRule>
  </conditionalFormatting>
  <conditionalFormatting sqref="D59:F63">
    <cfRule type="containsErrors" dxfId="199" priority="4">
      <formula>ISERROR(D59)</formula>
    </cfRule>
  </conditionalFormatting>
  <conditionalFormatting sqref="D59:F63">
    <cfRule type="cellIs" dxfId="198" priority="3" operator="lessThanOrEqual">
      <formula>0</formula>
    </cfRule>
  </conditionalFormatting>
  <conditionalFormatting sqref="D69:F73">
    <cfRule type="containsErrors" dxfId="197" priority="2">
      <formula>ISERROR(D69)</formula>
    </cfRule>
  </conditionalFormatting>
  <conditionalFormatting sqref="D69:F73">
    <cfRule type="cellIs" dxfId="196" priority="1" operator="lessThanOrEqual">
      <formula>0</formula>
    </cfRule>
  </conditionalFormatting>
  <dataValidations count="2">
    <dataValidation type="list" allowBlank="1" showInputMessage="1" showErrorMessage="1" sqref="C29:C33 C69:C73 C59:C63 C49:C53 C39:C43" xr:uid="{00000000-0002-0000-1200-000000000000}">
      <formula1>$B$122:$B$134</formula1>
    </dataValidation>
    <dataValidation type="list" allowBlank="1" showInputMessage="1" showErrorMessage="1" sqref="C13" xr:uid="{00000000-0002-0000-1200-000001000000}">
      <formula1>Cistern</formula1>
    </dataValidation>
  </dataValidations>
  <hyperlinks>
    <hyperlink ref="A210:J211" location="'SITE SUMMARY'!A1" display="CONTINUE TO SITE SUMMARY" xr:uid="{00000000-0004-0000-1200-000000000000}"/>
    <hyperlink ref="A213:J214" location="'SITE SUMMARY'!A1" display="CONTINUE TO SITE SUMMARY" xr:uid="{00000000-0004-0000-1200-000001000000}"/>
    <hyperlink ref="A210:L211" location="'BMP SUMMARY'!A1" display="CONTINUE TO BMP SUMMARY" xr:uid="{00000000-0004-0000-1200-000002000000}"/>
    <hyperlink ref="A207:J208" location="'DA2'!A1" display="CLICK TO ADD ANOTHER DRAINAGE AREA" xr:uid="{00000000-0004-0000-1200-000003000000}"/>
    <hyperlink ref="A207:L208" location="DA2_BMPs!A1" display="CLICK TO ADD BMPS TO ANOTHER DRAINAGE AREA" xr:uid="{00000000-0004-0000-1200-000004000000}"/>
  </hyperlinks>
  <printOptions horizontalCentered="1"/>
  <pageMargins left="0.7" right="0.7" top="0.75" bottom="0.75" header="0.3" footer="0.3"/>
  <pageSetup scale="42" fitToHeight="2" orientation="portrait" r:id="rId1"/>
  <headerFooter>
    <oddFooter>&amp;A&amp;RPage &amp;P</oddFooter>
  </headerFooter>
  <rowBreaks count="1" manualBreakCount="1">
    <brk id="54" min="1" max="12" man="1"/>
  </rowBreaks>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030A0"/>
  </sheetPr>
  <dimension ref="A1:AA487"/>
  <sheetViews>
    <sheetView showRowColHeaders="0" zoomScale="70" zoomScaleNormal="70" zoomScalePageLayoutView="55" workbookViewId="0">
      <selection activeCell="C13" sqref="C13"/>
    </sheetView>
  </sheetViews>
  <sheetFormatPr defaultRowHeight="15" x14ac:dyDescent="0.2"/>
  <cols>
    <col min="1" max="1" width="3.77734375" style="507" customWidth="1"/>
    <col min="2" max="2" width="39" style="161" customWidth="1"/>
    <col min="3" max="3" width="42.5546875" style="161" bestFit="1" customWidth="1"/>
    <col min="4" max="10" width="9.77734375" style="161" customWidth="1"/>
    <col min="11" max="11" width="9.77734375" style="398" customWidth="1"/>
    <col min="12" max="13" width="9.77734375" style="161" customWidth="1"/>
    <col min="14" max="14" width="77" style="161" customWidth="1"/>
    <col min="15" max="25" width="8.88671875" style="507"/>
    <col min="26" max="16384" width="8.88671875" style="161"/>
  </cols>
  <sheetData>
    <row r="1" spans="1:25" ht="16.5" customHeight="1" thickBot="1" x14ac:dyDescent="0.3">
      <c r="B1" s="787" t="s">
        <v>31</v>
      </c>
      <c r="C1" s="787"/>
      <c r="D1" s="787"/>
      <c r="E1" s="931"/>
      <c r="F1" s="1107">
        <f>'SITE DATA'!F9</f>
        <v>0</v>
      </c>
      <c r="G1" s="1108"/>
      <c r="H1" s="1108"/>
      <c r="I1" s="1108"/>
      <c r="J1" s="1108"/>
      <c r="K1" s="1108"/>
      <c r="L1" s="1108"/>
      <c r="M1" s="1109"/>
      <c r="N1" s="507"/>
    </row>
    <row r="2" spans="1:25" ht="16.5" customHeight="1" x14ac:dyDescent="0.2">
      <c r="B2" s="575"/>
      <c r="C2" s="575"/>
      <c r="D2" s="575"/>
      <c r="E2" s="575"/>
      <c r="F2" s="575"/>
      <c r="G2" s="575"/>
      <c r="H2" s="575"/>
      <c r="I2" s="575"/>
      <c r="J2" s="575"/>
      <c r="K2" s="237"/>
      <c r="L2" s="575"/>
      <c r="M2" s="575"/>
      <c r="N2" s="507"/>
    </row>
    <row r="3" spans="1:25" ht="16.5" customHeight="1" x14ac:dyDescent="0.25">
      <c r="B3" s="797" t="s">
        <v>397</v>
      </c>
      <c r="C3" s="797"/>
      <c r="D3" s="797"/>
      <c r="E3" s="797"/>
      <c r="F3" s="797"/>
      <c r="G3" s="797"/>
      <c r="H3" s="797"/>
      <c r="I3" s="797"/>
      <c r="J3" s="797"/>
      <c r="K3" s="797"/>
      <c r="L3" s="797"/>
      <c r="M3" s="797"/>
      <c r="N3" s="507"/>
    </row>
    <row r="4" spans="1:25" ht="16.5" customHeight="1" x14ac:dyDescent="0.25">
      <c r="B4" s="797" t="s">
        <v>359</v>
      </c>
      <c r="C4" s="797"/>
      <c r="D4" s="797"/>
      <c r="E4" s="797"/>
      <c r="F4" s="797"/>
      <c r="G4" s="797"/>
      <c r="H4" s="797"/>
      <c r="I4" s="797"/>
      <c r="J4" s="797"/>
      <c r="K4" s="797"/>
      <c r="L4" s="797"/>
      <c r="M4" s="797"/>
      <c r="N4" s="507"/>
    </row>
    <row r="5" spans="1:25" ht="16.5" customHeight="1" x14ac:dyDescent="0.2">
      <c r="B5" s="507"/>
      <c r="C5" s="507"/>
      <c r="D5" s="507"/>
      <c r="E5" s="507"/>
      <c r="F5" s="507"/>
      <c r="G5" s="507"/>
      <c r="H5" s="507"/>
      <c r="I5" s="507"/>
      <c r="J5" s="507"/>
      <c r="K5" s="573"/>
      <c r="L5" s="507"/>
      <c r="M5" s="507"/>
      <c r="N5" s="507"/>
    </row>
    <row r="6" spans="1:25" ht="16.5" customHeight="1" x14ac:dyDescent="0.2">
      <c r="B6" s="507"/>
      <c r="C6" s="507"/>
      <c r="D6" s="366"/>
      <c r="E6" s="366"/>
      <c r="F6" s="366"/>
      <c r="G6" s="305"/>
      <c r="H6" s="305"/>
      <c r="I6" s="366"/>
      <c r="J6" s="366"/>
      <c r="K6" s="367"/>
      <c r="L6" s="507"/>
      <c r="M6" s="507"/>
    </row>
    <row r="7" spans="1:25" ht="16.5" customHeight="1" thickBot="1" x14ac:dyDescent="0.25">
      <c r="B7" s="507"/>
      <c r="C7" s="507"/>
      <c r="D7" s="305"/>
      <c r="E7" s="305"/>
      <c r="F7" s="305"/>
      <c r="G7" s="305"/>
      <c r="H7" s="305"/>
      <c r="I7" s="305"/>
      <c r="J7" s="305"/>
      <c r="K7" s="160"/>
      <c r="L7" s="507"/>
      <c r="M7" s="507"/>
      <c r="N7" s="507"/>
    </row>
    <row r="8" spans="1:25" s="306" customFormat="1" ht="24.95" customHeight="1" thickTop="1" thickBot="1" x14ac:dyDescent="0.25">
      <c r="A8" s="164"/>
      <c r="B8" s="1081" t="s">
        <v>274</v>
      </c>
      <c r="C8" s="1082"/>
      <c r="D8" s="1082"/>
      <c r="E8" s="1082"/>
      <c r="F8" s="1082"/>
      <c r="G8" s="1082"/>
      <c r="H8" s="1082"/>
      <c r="I8" s="1082"/>
      <c r="J8" s="1082"/>
      <c r="K8" s="1082"/>
      <c r="L8" s="1082"/>
      <c r="M8" s="1083"/>
      <c r="N8" s="238" t="s">
        <v>319</v>
      </c>
      <c r="O8" s="164"/>
      <c r="P8" s="164"/>
      <c r="Q8" s="164"/>
      <c r="R8" s="164"/>
      <c r="S8" s="164"/>
      <c r="T8" s="164"/>
      <c r="U8" s="164"/>
      <c r="V8" s="164"/>
      <c r="W8" s="164"/>
      <c r="X8" s="164"/>
      <c r="Y8" s="164"/>
    </row>
    <row r="9" spans="1:25" s="306" customFormat="1" ht="24.95" customHeight="1" thickTop="1" x14ac:dyDescent="0.2">
      <c r="A9" s="164"/>
      <c r="B9" s="241" t="s">
        <v>651</v>
      </c>
      <c r="C9" s="1087">
        <f>'DA6'!H10</f>
        <v>0</v>
      </c>
      <c r="D9" s="1087"/>
      <c r="E9" s="1087"/>
      <c r="F9" s="1087"/>
      <c r="G9" s="1087"/>
      <c r="H9" s="1087"/>
      <c r="I9" s="1087"/>
      <c r="J9" s="1087"/>
      <c r="K9" s="1087"/>
      <c r="L9" s="1087"/>
      <c r="M9" s="1088"/>
      <c r="N9" s="307"/>
      <c r="O9" s="164"/>
      <c r="P9" s="164"/>
      <c r="Q9" s="164"/>
      <c r="R9" s="164"/>
      <c r="S9" s="164"/>
      <c r="T9" s="164"/>
      <c r="U9" s="164"/>
      <c r="V9" s="164"/>
      <c r="W9" s="164"/>
      <c r="X9" s="164"/>
      <c r="Y9" s="164"/>
    </row>
    <row r="10" spans="1:25" s="306" customFormat="1" ht="24.95" customHeight="1" x14ac:dyDescent="0.2">
      <c r="A10" s="164"/>
      <c r="B10" s="241" t="s">
        <v>652</v>
      </c>
      <c r="C10" s="1087">
        <f>'DA6'!H9-'DA6'!H10</f>
        <v>0</v>
      </c>
      <c r="D10" s="1087"/>
      <c r="E10" s="1087"/>
      <c r="F10" s="1087"/>
      <c r="G10" s="1087"/>
      <c r="H10" s="1087"/>
      <c r="I10" s="1087"/>
      <c r="J10" s="1087"/>
      <c r="K10" s="1087"/>
      <c r="L10" s="1087"/>
      <c r="M10" s="1088"/>
      <c r="N10" s="308"/>
      <c r="O10" s="164"/>
      <c r="P10" s="164"/>
      <c r="Q10" s="164"/>
      <c r="R10" s="164"/>
      <c r="S10" s="164"/>
      <c r="T10" s="164"/>
      <c r="U10" s="164"/>
      <c r="V10" s="164"/>
      <c r="W10" s="164"/>
      <c r="X10" s="164"/>
      <c r="Y10" s="164"/>
    </row>
    <row r="11" spans="1:25" s="306" customFormat="1" ht="33" x14ac:dyDescent="0.2">
      <c r="A11" s="164"/>
      <c r="B11" s="286" t="s">
        <v>576</v>
      </c>
      <c r="C11" s="1032" t="e">
        <f>'SITE SUMMARY'!G40</f>
        <v>#VALUE!</v>
      </c>
      <c r="D11" s="1032"/>
      <c r="E11" s="1032"/>
      <c r="F11" s="1032"/>
      <c r="G11" s="1032"/>
      <c r="H11" s="1032"/>
      <c r="I11" s="1032"/>
      <c r="J11" s="1032"/>
      <c r="K11" s="1032"/>
      <c r="L11" s="1032"/>
      <c r="M11" s="1033"/>
      <c r="N11" s="1035" t="s">
        <v>578</v>
      </c>
      <c r="O11" s="164"/>
      <c r="P11" s="164"/>
      <c r="Q11" s="164"/>
      <c r="R11" s="164"/>
      <c r="S11" s="164"/>
      <c r="T11" s="164"/>
      <c r="U11" s="164"/>
      <c r="V11" s="164"/>
      <c r="W11" s="164"/>
      <c r="X11" s="164"/>
      <c r="Y11" s="164"/>
    </row>
    <row r="12" spans="1:25" s="306" customFormat="1" ht="34.5" customHeight="1" x14ac:dyDescent="0.2">
      <c r="A12" s="164"/>
      <c r="B12" s="286" t="s">
        <v>653</v>
      </c>
      <c r="C12" s="1032" t="e">
        <f>IF('SITE SUMMARY'!G35="High",('DA6'!$D$80),0)</f>
        <v>#DIV/0!</v>
      </c>
      <c r="D12" s="1032" t="str">
        <f>IF($G$36="High",('DA1'!$D$80),"NA")</f>
        <v>NA</v>
      </c>
      <c r="E12" s="1032" t="str">
        <f>IF($G$36="High",('DA1'!$D$80),"NA")</f>
        <v>NA</v>
      </c>
      <c r="F12" s="1032" t="str">
        <f>IF($G$36="High",('DA1'!$D$80),"NA")</f>
        <v>NA</v>
      </c>
      <c r="G12" s="1032" t="str">
        <f>IF($G$36="High",('DA1'!$D$80),"NA")</f>
        <v>NA</v>
      </c>
      <c r="H12" s="1032" t="str">
        <f>IF($G$36="High",('DA1'!$D$80),"NA")</f>
        <v>NA</v>
      </c>
      <c r="I12" s="1032" t="str">
        <f>IF($G$36="High",('DA1'!$D$80),"NA")</f>
        <v>NA</v>
      </c>
      <c r="J12" s="1032" t="str">
        <f>IF($G$36="High",('DA1'!$D$80),"NA")</f>
        <v>NA</v>
      </c>
      <c r="K12" s="1032" t="str">
        <f>IF($G$36="High",('DA1'!$D$80),"NA")</f>
        <v>NA</v>
      </c>
      <c r="L12" s="1032" t="str">
        <f>IF($G$36="High",('DA1'!$D$80),"NA")</f>
        <v>NA</v>
      </c>
      <c r="M12" s="1033" t="str">
        <f>IF($G$36="High",('DA1'!$D$80),"NA")</f>
        <v>NA</v>
      </c>
      <c r="N12" s="1035"/>
      <c r="O12" s="164"/>
      <c r="P12" s="164"/>
      <c r="Q12" s="164"/>
      <c r="R12" s="164"/>
      <c r="S12" s="164"/>
      <c r="T12" s="164"/>
      <c r="U12" s="164"/>
      <c r="V12" s="164"/>
      <c r="W12" s="164"/>
      <c r="X12" s="164"/>
      <c r="Y12" s="164"/>
    </row>
    <row r="13" spans="1:25" s="306" customFormat="1" ht="60" x14ac:dyDescent="0.2">
      <c r="A13" s="164"/>
      <c r="B13" s="286" t="s">
        <v>583</v>
      </c>
      <c r="C13" s="364"/>
      <c r="D13" s="1038" t="s">
        <v>565</v>
      </c>
      <c r="E13" s="1039"/>
      <c r="F13" s="1039"/>
      <c r="G13" s="1026"/>
      <c r="H13" s="1027"/>
      <c r="I13" s="1028"/>
      <c r="J13" s="1029" t="s">
        <v>574</v>
      </c>
      <c r="K13" s="1030"/>
      <c r="L13" s="1030"/>
      <c r="M13" s="1031"/>
      <c r="N13" s="608" t="s">
        <v>654</v>
      </c>
      <c r="O13" s="164"/>
      <c r="P13" s="164"/>
      <c r="Q13" s="164"/>
      <c r="R13" s="164"/>
      <c r="S13" s="164"/>
      <c r="T13" s="164"/>
      <c r="U13" s="164"/>
      <c r="V13" s="164"/>
      <c r="W13" s="164"/>
      <c r="X13" s="164"/>
      <c r="Y13" s="164"/>
    </row>
    <row r="14" spans="1:25" s="306" customFormat="1" ht="24.95" customHeight="1" x14ac:dyDescent="0.2">
      <c r="A14" s="164"/>
      <c r="B14" s="1084" t="s">
        <v>320</v>
      </c>
      <c r="C14" s="1085"/>
      <c r="D14" s="1085"/>
      <c r="E14" s="1085"/>
      <c r="F14" s="1085"/>
      <c r="G14" s="1085"/>
      <c r="H14" s="1085"/>
      <c r="I14" s="1085"/>
      <c r="J14" s="1085"/>
      <c r="K14" s="1085"/>
      <c r="L14" s="1085"/>
      <c r="M14" s="1086"/>
      <c r="N14" s="368"/>
      <c r="O14" s="369"/>
      <c r="P14" s="369"/>
      <c r="Q14" s="369"/>
      <c r="R14" s="369"/>
      <c r="S14" s="369"/>
      <c r="T14" s="369"/>
      <c r="U14" s="164"/>
      <c r="V14" s="164"/>
      <c r="W14" s="164"/>
      <c r="X14" s="164"/>
      <c r="Y14" s="164"/>
    </row>
    <row r="15" spans="1:25" s="327" customFormat="1" ht="35.1" customHeight="1" x14ac:dyDescent="0.2">
      <c r="A15" s="326"/>
      <c r="B15" s="1089" t="s">
        <v>273</v>
      </c>
      <c r="C15" s="1090"/>
      <c r="D15" s="1093" t="s">
        <v>655</v>
      </c>
      <c r="E15" s="1093"/>
      <c r="F15" s="1093" t="s">
        <v>656</v>
      </c>
      <c r="G15" s="1093"/>
      <c r="H15" s="1093" t="s">
        <v>657</v>
      </c>
      <c r="I15" s="1093"/>
      <c r="J15" s="1093" t="s">
        <v>658</v>
      </c>
      <c r="K15" s="1093"/>
      <c r="L15" s="1093" t="s">
        <v>659</v>
      </c>
      <c r="M15" s="1115"/>
      <c r="N15" s="1119" t="s">
        <v>741</v>
      </c>
      <c r="O15" s="326"/>
      <c r="P15" s="326"/>
      <c r="Q15" s="326"/>
      <c r="R15" s="326"/>
      <c r="S15" s="326"/>
      <c r="T15" s="326"/>
      <c r="U15" s="326"/>
      <c r="V15" s="326"/>
      <c r="W15" s="326"/>
      <c r="X15" s="326"/>
      <c r="Y15" s="326"/>
    </row>
    <row r="16" spans="1:25" s="327" customFormat="1" x14ac:dyDescent="0.2">
      <c r="A16" s="326"/>
      <c r="B16" s="1089"/>
      <c r="C16" s="1090"/>
      <c r="D16" s="131" t="s">
        <v>281</v>
      </c>
      <c r="E16" s="131" t="s">
        <v>282</v>
      </c>
      <c r="F16" s="131" t="s">
        <v>281</v>
      </c>
      <c r="G16" s="131" t="s">
        <v>282</v>
      </c>
      <c r="H16" s="131" t="s">
        <v>281</v>
      </c>
      <c r="I16" s="131" t="s">
        <v>282</v>
      </c>
      <c r="J16" s="131" t="s">
        <v>281</v>
      </c>
      <c r="K16" s="131" t="s">
        <v>282</v>
      </c>
      <c r="L16" s="131" t="s">
        <v>281</v>
      </c>
      <c r="M16" s="240" t="s">
        <v>282</v>
      </c>
      <c r="N16" s="1119"/>
      <c r="O16" s="326"/>
      <c r="P16" s="326"/>
      <c r="Q16" s="326"/>
      <c r="R16" s="326"/>
      <c r="S16" s="326"/>
      <c r="T16" s="326"/>
      <c r="U16" s="326"/>
      <c r="V16" s="326"/>
      <c r="W16" s="326"/>
      <c r="X16" s="326"/>
      <c r="Y16" s="326"/>
    </row>
    <row r="17" spans="1:25" s="327" customFormat="1" ht="24.95" customHeight="1" x14ac:dyDescent="0.2">
      <c r="A17" s="326"/>
      <c r="B17" s="1091" t="s">
        <v>12</v>
      </c>
      <c r="C17" s="1092"/>
      <c r="D17" s="364"/>
      <c r="E17" s="364"/>
      <c r="F17" s="364"/>
      <c r="G17" s="364"/>
      <c r="H17" s="364"/>
      <c r="I17" s="364"/>
      <c r="J17" s="364"/>
      <c r="K17" s="364"/>
      <c r="L17" s="364"/>
      <c r="M17" s="365"/>
      <c r="N17" s="1119"/>
      <c r="O17" s="326"/>
      <c r="P17" s="326"/>
      <c r="Q17" s="326"/>
      <c r="R17" s="326"/>
      <c r="S17" s="326"/>
      <c r="T17" s="326"/>
      <c r="U17" s="326"/>
      <c r="V17" s="326"/>
      <c r="W17" s="326"/>
      <c r="X17" s="326"/>
      <c r="Y17" s="326"/>
    </row>
    <row r="18" spans="1:25" s="327" customFormat="1" ht="24.95" customHeight="1" x14ac:dyDescent="0.2">
      <c r="A18" s="326"/>
      <c r="B18" s="1091" t="s">
        <v>253</v>
      </c>
      <c r="C18" s="1092"/>
      <c r="D18" s="364"/>
      <c r="E18" s="364"/>
      <c r="F18" s="364"/>
      <c r="G18" s="364"/>
      <c r="H18" s="364"/>
      <c r="I18" s="364"/>
      <c r="J18" s="364"/>
      <c r="K18" s="364"/>
      <c r="L18" s="364"/>
      <c r="M18" s="365"/>
      <c r="N18" s="1119"/>
      <c r="O18" s="326"/>
      <c r="P18" s="326"/>
      <c r="Q18" s="326"/>
      <c r="R18" s="326"/>
      <c r="S18" s="326"/>
      <c r="T18" s="326"/>
      <c r="U18" s="326"/>
      <c r="V18" s="326"/>
      <c r="W18" s="326"/>
      <c r="X18" s="326"/>
      <c r="Y18" s="326"/>
    </row>
    <row r="19" spans="1:25" s="327" customFormat="1" ht="24.95" customHeight="1" x14ac:dyDescent="0.2">
      <c r="A19" s="326"/>
      <c r="B19" s="1091" t="s">
        <v>260</v>
      </c>
      <c r="C19" s="1092"/>
      <c r="D19" s="364"/>
      <c r="E19" s="364"/>
      <c r="F19" s="364"/>
      <c r="G19" s="364"/>
      <c r="H19" s="364"/>
      <c r="I19" s="364"/>
      <c r="J19" s="364"/>
      <c r="K19" s="364"/>
      <c r="L19" s="364"/>
      <c r="M19" s="365"/>
      <c r="N19" s="1119"/>
      <c r="O19" s="326"/>
      <c r="P19" s="326"/>
      <c r="Q19" s="326"/>
      <c r="R19" s="326"/>
      <c r="S19" s="326"/>
      <c r="T19" s="326"/>
      <c r="U19" s="326"/>
      <c r="V19" s="326"/>
      <c r="W19" s="326"/>
      <c r="X19" s="326"/>
      <c r="Y19" s="326"/>
    </row>
    <row r="20" spans="1:25" s="327" customFormat="1" ht="24.95" customHeight="1" x14ac:dyDescent="0.2">
      <c r="A20" s="326"/>
      <c r="B20" s="1091" t="s">
        <v>254</v>
      </c>
      <c r="C20" s="1092"/>
      <c r="D20" s="364"/>
      <c r="E20" s="364"/>
      <c r="F20" s="364"/>
      <c r="G20" s="364"/>
      <c r="H20" s="364"/>
      <c r="I20" s="364"/>
      <c r="J20" s="364"/>
      <c r="K20" s="364"/>
      <c r="L20" s="364"/>
      <c r="M20" s="365"/>
      <c r="N20" s="1119"/>
      <c r="O20" s="326"/>
      <c r="P20" s="326"/>
      <c r="Q20" s="326"/>
      <c r="R20" s="326"/>
      <c r="S20" s="326"/>
      <c r="T20" s="326"/>
      <c r="U20" s="326"/>
      <c r="V20" s="326"/>
      <c r="W20" s="326"/>
      <c r="X20" s="326"/>
      <c r="Y20" s="326"/>
    </row>
    <row r="21" spans="1:25" s="327" customFormat="1" ht="24.95" customHeight="1" x14ac:dyDescent="0.2">
      <c r="A21" s="326"/>
      <c r="B21" s="1091" t="s">
        <v>255</v>
      </c>
      <c r="C21" s="1092"/>
      <c r="D21" s="364"/>
      <c r="E21" s="364"/>
      <c r="F21" s="364"/>
      <c r="G21" s="364"/>
      <c r="H21" s="364"/>
      <c r="I21" s="364"/>
      <c r="J21" s="364"/>
      <c r="K21" s="364"/>
      <c r="L21" s="364"/>
      <c r="M21" s="365"/>
      <c r="N21" s="1119"/>
      <c r="O21" s="326"/>
      <c r="P21" s="326"/>
      <c r="Q21" s="326"/>
      <c r="R21" s="326"/>
      <c r="S21" s="326"/>
      <c r="T21" s="326"/>
      <c r="U21" s="326"/>
      <c r="V21" s="326"/>
      <c r="W21" s="326"/>
      <c r="X21" s="326"/>
      <c r="Y21" s="326"/>
    </row>
    <row r="22" spans="1:25" ht="24.95" customHeight="1" x14ac:dyDescent="0.2">
      <c r="B22" s="1091" t="s">
        <v>256</v>
      </c>
      <c r="C22" s="1092"/>
      <c r="D22" s="364"/>
      <c r="E22" s="364"/>
      <c r="F22" s="364"/>
      <c r="G22" s="364"/>
      <c r="H22" s="364"/>
      <c r="I22" s="364"/>
      <c r="J22" s="364"/>
      <c r="K22" s="364"/>
      <c r="L22" s="364"/>
      <c r="M22" s="365"/>
      <c r="N22" s="1119"/>
    </row>
    <row r="23" spans="1:25" ht="24.95" customHeight="1" x14ac:dyDescent="0.2">
      <c r="B23" s="1091" t="s">
        <v>257</v>
      </c>
      <c r="C23" s="1092"/>
      <c r="D23" s="364"/>
      <c r="E23" s="364"/>
      <c r="F23" s="364"/>
      <c r="G23" s="364"/>
      <c r="H23" s="364"/>
      <c r="I23" s="364"/>
      <c r="J23" s="364"/>
      <c r="K23" s="364"/>
      <c r="L23" s="364"/>
      <c r="M23" s="365"/>
      <c r="N23" s="370"/>
    </row>
    <row r="24" spans="1:25" ht="24.95" customHeight="1" x14ac:dyDescent="0.2">
      <c r="B24" s="1091" t="s">
        <v>245</v>
      </c>
      <c r="C24" s="1092"/>
      <c r="D24" s="364"/>
      <c r="E24" s="364"/>
      <c r="F24" s="364"/>
      <c r="G24" s="364"/>
      <c r="H24" s="364"/>
      <c r="I24" s="364"/>
      <c r="J24" s="364"/>
      <c r="K24" s="364"/>
      <c r="L24" s="364"/>
      <c r="M24" s="365"/>
      <c r="N24" s="370"/>
    </row>
    <row r="25" spans="1:25" ht="24.95" customHeight="1" x14ac:dyDescent="0.2">
      <c r="B25" s="1091" t="s">
        <v>44</v>
      </c>
      <c r="C25" s="1092"/>
      <c r="D25" s="364"/>
      <c r="E25" s="364"/>
      <c r="F25" s="364"/>
      <c r="G25" s="364"/>
      <c r="H25" s="364"/>
      <c r="I25" s="364"/>
      <c r="J25" s="364"/>
      <c r="K25" s="364"/>
      <c r="L25" s="364"/>
      <c r="M25" s="365"/>
      <c r="N25" s="446" t="str">
        <f>IF(SUM( D17:D25,F17:F25,H17:H25,J17:J25,L17:L25)=C9,"","DOES NOT MATCH SITE ACREAGES")</f>
        <v/>
      </c>
    </row>
    <row r="26" spans="1:25" s="373" customFormat="1" ht="15.75" hidden="1" x14ac:dyDescent="0.25">
      <c r="A26" s="574"/>
      <c r="B26" s="371" t="s">
        <v>291</v>
      </c>
      <c r="C26" s="372"/>
      <c r="D26" s="315">
        <f>SUM(D17:D25)</f>
        <v>0</v>
      </c>
      <c r="E26" s="315">
        <f t="shared" ref="E26:M26" si="0">SUM(E17:E25)</f>
        <v>0</v>
      </c>
      <c r="F26" s="315">
        <f t="shared" si="0"/>
        <v>0</v>
      </c>
      <c r="G26" s="315">
        <f t="shared" si="0"/>
        <v>0</v>
      </c>
      <c r="H26" s="315">
        <f t="shared" si="0"/>
        <v>0</v>
      </c>
      <c r="I26" s="315">
        <f t="shared" si="0"/>
        <v>0</v>
      </c>
      <c r="J26" s="315">
        <f t="shared" si="0"/>
        <v>0</v>
      </c>
      <c r="K26" s="315">
        <f t="shared" si="0"/>
        <v>0</v>
      </c>
      <c r="L26" s="315">
        <f t="shared" si="0"/>
        <v>0</v>
      </c>
      <c r="M26" s="316">
        <f t="shared" si="0"/>
        <v>0</v>
      </c>
      <c r="N26" s="330"/>
      <c r="O26" s="574"/>
      <c r="P26" s="574"/>
      <c r="Q26" s="574"/>
      <c r="R26" s="574"/>
      <c r="S26" s="574"/>
      <c r="T26" s="574"/>
      <c r="U26" s="574"/>
      <c r="V26" s="574"/>
      <c r="W26" s="574"/>
      <c r="X26" s="574"/>
      <c r="Y26" s="574"/>
    </row>
    <row r="27" spans="1:25" s="306" customFormat="1" ht="15.75" x14ac:dyDescent="0.2">
      <c r="A27" s="164"/>
      <c r="B27" s="953" t="s">
        <v>286</v>
      </c>
      <c r="C27" s="954"/>
      <c r="D27" s="954"/>
      <c r="E27" s="954"/>
      <c r="F27" s="954"/>
      <c r="G27" s="954"/>
      <c r="H27" s="954"/>
      <c r="I27" s="954"/>
      <c r="J27" s="954"/>
      <c r="K27" s="954"/>
      <c r="L27" s="954"/>
      <c r="M27" s="955"/>
      <c r="N27" s="324"/>
      <c r="O27" s="164"/>
      <c r="P27" s="164"/>
      <c r="Q27" s="164"/>
      <c r="R27" s="164"/>
      <c r="S27" s="164"/>
      <c r="T27" s="164"/>
      <c r="U27" s="164"/>
      <c r="V27" s="164"/>
      <c r="W27" s="164"/>
      <c r="X27" s="164"/>
      <c r="Y27" s="164"/>
    </row>
    <row r="28" spans="1:25" s="507" customFormat="1" ht="79.5" customHeight="1" x14ac:dyDescent="0.2">
      <c r="B28" s="374" t="s">
        <v>318</v>
      </c>
      <c r="C28" s="375" t="s">
        <v>284</v>
      </c>
      <c r="D28" s="1034" t="s">
        <v>568</v>
      </c>
      <c r="E28" s="1034"/>
      <c r="F28" s="1034"/>
      <c r="G28" s="1040" t="s">
        <v>567</v>
      </c>
      <c r="H28" s="1041"/>
      <c r="I28" s="1042"/>
      <c r="J28" s="631" t="s">
        <v>269</v>
      </c>
      <c r="K28" s="631" t="s">
        <v>491</v>
      </c>
      <c r="L28" s="631" t="s">
        <v>492</v>
      </c>
      <c r="M28" s="376" t="s">
        <v>322</v>
      </c>
      <c r="N28" s="377" t="s">
        <v>321</v>
      </c>
    </row>
    <row r="29" spans="1:25" ht="24.95" customHeight="1" x14ac:dyDescent="0.2">
      <c r="B29" s="562"/>
      <c r="C29" s="400"/>
      <c r="D29" s="1043" t="e">
        <f>IF('SITE SUMMARY'!$G$35="High",E151,"-")</f>
        <v>#DIV/0!</v>
      </c>
      <c r="E29" s="1044"/>
      <c r="F29" s="1045"/>
      <c r="G29" s="1120"/>
      <c r="H29" s="1121"/>
      <c r="I29" s="1122"/>
      <c r="J29" s="378">
        <f>IF(ISERROR(VLOOKUP(C29,BMP,2,FALSE)),0,VLOOKUP(C29,BMP,2,FALSE))</f>
        <v>0</v>
      </c>
      <c r="K29" s="625">
        <f>IF(ISERROR($E$114),0,$E$114)</f>
        <v>0</v>
      </c>
      <c r="L29" s="625">
        <f>IF(ISERROR(K29*J29),0,K29*J29)</f>
        <v>0</v>
      </c>
      <c r="M29" s="401"/>
      <c r="N29" s="377"/>
      <c r="O29" s="379"/>
      <c r="P29" s="379"/>
      <c r="Q29" s="379"/>
      <c r="R29" s="379"/>
      <c r="S29" s="379"/>
      <c r="T29" s="379"/>
    </row>
    <row r="30" spans="1:25" ht="24.95" customHeight="1" x14ac:dyDescent="0.2">
      <c r="B30" s="563"/>
      <c r="C30" s="400"/>
      <c r="D30" s="1046"/>
      <c r="E30" s="1047"/>
      <c r="F30" s="1048"/>
      <c r="G30" s="1123"/>
      <c r="H30" s="1124"/>
      <c r="I30" s="1125"/>
      <c r="J30" s="378">
        <f>IF(ISERROR(VLOOKUP(C30,BMP,2,FALSE)),0,VLOOKUP(C30,BMP,2,FALSE))</f>
        <v>0</v>
      </c>
      <c r="K30" s="625">
        <f>IF(ISERROR(K29-L29),0,K29-L29)</f>
        <v>0</v>
      </c>
      <c r="L30" s="625">
        <f>IF(ISERROR(K30*J30),0,K30*J30)</f>
        <v>0</v>
      </c>
      <c r="M30" s="401"/>
      <c r="N30" s="380"/>
    </row>
    <row r="31" spans="1:25" ht="24.95" customHeight="1" x14ac:dyDescent="0.2">
      <c r="B31" s="563"/>
      <c r="C31" s="400"/>
      <c r="D31" s="1046"/>
      <c r="E31" s="1047"/>
      <c r="F31" s="1048"/>
      <c r="G31" s="1123"/>
      <c r="H31" s="1124"/>
      <c r="I31" s="1125"/>
      <c r="J31" s="378">
        <f>IF(ISERROR(VLOOKUP(C31,BMP,2,FALSE)),0,VLOOKUP(C31,BMP,2,FALSE))</f>
        <v>0</v>
      </c>
      <c r="K31" s="625">
        <f>IF(ISERROR(K30-L30),0,K30-L30)</f>
        <v>0</v>
      </c>
      <c r="L31" s="625">
        <f>IF(ISERROR(K31*J31),0,K31*J31)</f>
        <v>0</v>
      </c>
      <c r="M31" s="401"/>
      <c r="N31" s="380"/>
    </row>
    <row r="32" spans="1:25" ht="24.95" customHeight="1" x14ac:dyDescent="0.2">
      <c r="B32" s="563"/>
      <c r="C32" s="400"/>
      <c r="D32" s="1046"/>
      <c r="E32" s="1047"/>
      <c r="F32" s="1048"/>
      <c r="G32" s="1123"/>
      <c r="H32" s="1124"/>
      <c r="I32" s="1125"/>
      <c r="J32" s="378">
        <f>IF(ISERROR(VLOOKUP(C32,BMP,2,FALSE)),0,VLOOKUP(C32,BMP,2,FALSE))</f>
        <v>0</v>
      </c>
      <c r="K32" s="625">
        <f>IF(ISERROR(K31-L31),0,K31-L31)</f>
        <v>0</v>
      </c>
      <c r="L32" s="625">
        <f>IF(ISERROR(K32*J32),0,K32*J32)</f>
        <v>0</v>
      </c>
      <c r="M32" s="401"/>
      <c r="N32" s="380"/>
    </row>
    <row r="33" spans="1:25" ht="24.95" customHeight="1" x14ac:dyDescent="0.2">
      <c r="B33" s="563"/>
      <c r="C33" s="400"/>
      <c r="D33" s="1049"/>
      <c r="E33" s="1050"/>
      <c r="F33" s="1051"/>
      <c r="G33" s="1126"/>
      <c r="H33" s="1127"/>
      <c r="I33" s="1128"/>
      <c r="J33" s="378">
        <f>IF(ISERROR(VLOOKUP(C33,BMP,2,FALSE)),0,VLOOKUP(C33,BMP,2,FALSE))</f>
        <v>0</v>
      </c>
      <c r="K33" s="625">
        <f>IF(ISERROR(K32-L32),0,K32-L32)</f>
        <v>0</v>
      </c>
      <c r="L33" s="625">
        <f>IF(ISERROR(K33*J33),0,K33*J33)</f>
        <v>0</v>
      </c>
      <c r="M33" s="401"/>
      <c r="N33" s="381"/>
    </row>
    <row r="34" spans="1:25" ht="24.95" customHeight="1" x14ac:dyDescent="0.2">
      <c r="B34" s="1052" t="s">
        <v>371</v>
      </c>
      <c r="C34" s="1053"/>
      <c r="D34" s="1054">
        <f>IF(J33&gt;0,K306-L33,IF(J32&gt;0,K32-L32,IF(J31&gt;0,K31-L31,IF(J30&gt;0,K30-L30,K29-L29))))</f>
        <v>0</v>
      </c>
      <c r="E34" s="1055"/>
      <c r="F34" s="1055"/>
      <c r="G34" s="1055"/>
      <c r="H34" s="1055"/>
      <c r="I34" s="1055"/>
      <c r="J34" s="1055"/>
      <c r="K34" s="1055"/>
      <c r="L34" s="1055"/>
      <c r="M34" s="1056"/>
      <c r="N34" s="382"/>
    </row>
    <row r="35" spans="1:25" s="306" customFormat="1" ht="24.95" customHeight="1" x14ac:dyDescent="0.2">
      <c r="A35" s="164"/>
      <c r="B35" s="953" t="s">
        <v>285</v>
      </c>
      <c r="C35" s="954"/>
      <c r="D35" s="954"/>
      <c r="E35" s="954"/>
      <c r="F35" s="954"/>
      <c r="G35" s="954"/>
      <c r="H35" s="954"/>
      <c r="I35" s="954"/>
      <c r="J35" s="954"/>
      <c r="K35" s="954"/>
      <c r="L35" s="954"/>
      <c r="M35" s="955"/>
      <c r="N35" s="382"/>
      <c r="O35" s="164"/>
      <c r="P35" s="164"/>
      <c r="Q35" s="164"/>
      <c r="R35" s="164"/>
      <c r="S35" s="164"/>
      <c r="T35" s="164"/>
      <c r="U35" s="164"/>
      <c r="V35" s="164"/>
      <c r="W35" s="164"/>
      <c r="X35" s="164"/>
      <c r="Y35" s="164"/>
    </row>
    <row r="36" spans="1:25" s="507" customFormat="1" ht="39.75" customHeight="1" x14ac:dyDescent="0.2">
      <c r="B36" s="1019" t="s">
        <v>584</v>
      </c>
      <c r="C36" s="1020"/>
      <c r="D36" s="1057"/>
      <c r="E36" s="1058"/>
      <c r="F36" s="1058"/>
      <c r="G36" s="1058"/>
      <c r="H36" s="1058"/>
      <c r="I36" s="1058"/>
      <c r="J36" s="1058"/>
      <c r="K36" s="1058"/>
      <c r="L36" s="1058"/>
      <c r="M36" s="1059"/>
      <c r="N36" s="382"/>
    </row>
    <row r="37" spans="1:25" s="507" customFormat="1" ht="39.75" hidden="1" customHeight="1" x14ac:dyDescent="0.2">
      <c r="B37" s="1019" t="s">
        <v>585</v>
      </c>
      <c r="C37" s="1020"/>
      <c r="D37" s="1129"/>
      <c r="E37" s="1130"/>
      <c r="F37" s="1130"/>
      <c r="G37" s="1130"/>
      <c r="H37" s="1130"/>
      <c r="I37" s="1130"/>
      <c r="J37" s="1130"/>
      <c r="K37" s="1130"/>
      <c r="L37" s="1130"/>
      <c r="M37" s="1131"/>
      <c r="N37" s="382"/>
    </row>
    <row r="38" spans="1:25" s="507" customFormat="1" ht="79.5" customHeight="1" x14ac:dyDescent="0.2">
      <c r="B38" s="374" t="s">
        <v>318</v>
      </c>
      <c r="C38" s="375" t="s">
        <v>284</v>
      </c>
      <c r="D38" s="1034" t="s">
        <v>568</v>
      </c>
      <c r="E38" s="1034"/>
      <c r="F38" s="1034"/>
      <c r="G38" s="1034" t="s">
        <v>490</v>
      </c>
      <c r="H38" s="1034"/>
      <c r="I38" s="1034"/>
      <c r="J38" s="631" t="s">
        <v>269</v>
      </c>
      <c r="K38" s="631" t="s">
        <v>491</v>
      </c>
      <c r="L38" s="631" t="s">
        <v>492</v>
      </c>
      <c r="M38" s="376" t="s">
        <v>322</v>
      </c>
      <c r="N38" s="382"/>
    </row>
    <row r="39" spans="1:25" ht="24.95" customHeight="1" x14ac:dyDescent="0.2">
      <c r="B39" s="399"/>
      <c r="C39" s="400"/>
      <c r="D39" s="1043" t="e">
        <f>IF('SITE SUMMARY'!$G$35="High",E155,"-")</f>
        <v>#DIV/0!</v>
      </c>
      <c r="E39" s="1044"/>
      <c r="F39" s="1045"/>
      <c r="G39" s="1060"/>
      <c r="H39" s="1061"/>
      <c r="I39" s="1062"/>
      <c r="J39" s="378">
        <f>IF(ISERROR(VLOOKUP(C39,BMP,2,FALSE)),0,VLOOKUP(C39,BMP,2,FALSE))</f>
        <v>0</v>
      </c>
      <c r="K39" s="625">
        <f>IF(ISERROR($F$114),D36,$F$114+D36)</f>
        <v>0</v>
      </c>
      <c r="L39" s="625">
        <f>IF(ISERROR(K39*J39),0,K39*J39)</f>
        <v>0</v>
      </c>
      <c r="M39" s="401"/>
      <c r="N39" s="382"/>
      <c r="O39" s="379"/>
      <c r="P39" s="379"/>
      <c r="Q39" s="379"/>
      <c r="R39" s="379"/>
      <c r="S39" s="379"/>
      <c r="T39" s="379"/>
    </row>
    <row r="40" spans="1:25" ht="24.95" customHeight="1" x14ac:dyDescent="0.2">
      <c r="B40" s="399"/>
      <c r="C40" s="400"/>
      <c r="D40" s="1046"/>
      <c r="E40" s="1047"/>
      <c r="F40" s="1048"/>
      <c r="G40" s="1063"/>
      <c r="H40" s="1064"/>
      <c r="I40" s="1065"/>
      <c r="J40" s="378">
        <f>IF(ISERROR(VLOOKUP(C40,BMP,2,FALSE)),0,VLOOKUP(C40,BMP,2,FALSE))</f>
        <v>0</v>
      </c>
      <c r="K40" s="625">
        <f>IF(ISERROR(K39-L39),0,K39-L39)</f>
        <v>0</v>
      </c>
      <c r="L40" s="625">
        <f>IF(ISERROR(K40*J40),0,K40*J40)</f>
        <v>0</v>
      </c>
      <c r="M40" s="401"/>
      <c r="N40" s="382"/>
    </row>
    <row r="41" spans="1:25" ht="24.75" customHeight="1" x14ac:dyDescent="0.2">
      <c r="B41" s="399"/>
      <c r="C41" s="400"/>
      <c r="D41" s="1046"/>
      <c r="E41" s="1047"/>
      <c r="F41" s="1048"/>
      <c r="G41" s="1063"/>
      <c r="H41" s="1064"/>
      <c r="I41" s="1065"/>
      <c r="J41" s="378">
        <f>IF(ISERROR(VLOOKUP(C41,BMP,2,FALSE)),0,VLOOKUP(C41,BMP,2,FALSE))</f>
        <v>0</v>
      </c>
      <c r="K41" s="625">
        <f>IF(ISERROR(K40-L40),0,K40-L40)</f>
        <v>0</v>
      </c>
      <c r="L41" s="625">
        <f>IF(ISERROR(K41*J41),0,K41*J41)</f>
        <v>0</v>
      </c>
      <c r="M41" s="401"/>
      <c r="N41" s="382"/>
    </row>
    <row r="42" spans="1:25" ht="24.95" customHeight="1" x14ac:dyDescent="0.2">
      <c r="B42" s="399"/>
      <c r="C42" s="400"/>
      <c r="D42" s="1046"/>
      <c r="E42" s="1047"/>
      <c r="F42" s="1048"/>
      <c r="G42" s="1063"/>
      <c r="H42" s="1064"/>
      <c r="I42" s="1065"/>
      <c r="J42" s="378">
        <f>IF(ISERROR(VLOOKUP(C42,BMP,2,FALSE)),0,VLOOKUP(C42,BMP,2,FALSE))</f>
        <v>0</v>
      </c>
      <c r="K42" s="625">
        <f>IF(ISERROR(K41-L41),0,K41-L41)</f>
        <v>0</v>
      </c>
      <c r="L42" s="625">
        <f>IF(ISERROR(K42*J42),0,K42*J42)</f>
        <v>0</v>
      </c>
      <c r="M42" s="401"/>
      <c r="N42" s="382"/>
    </row>
    <row r="43" spans="1:25" ht="24.95" customHeight="1" x14ac:dyDescent="0.2">
      <c r="B43" s="399"/>
      <c r="C43" s="400"/>
      <c r="D43" s="1049"/>
      <c r="E43" s="1050"/>
      <c r="F43" s="1051"/>
      <c r="G43" s="1066"/>
      <c r="H43" s="1067"/>
      <c r="I43" s="1068"/>
      <c r="J43" s="378">
        <f>IF(ISERROR(VLOOKUP(C43,BMP,2,FALSE)),0,VLOOKUP(C43,BMP,2,FALSE))</f>
        <v>0</v>
      </c>
      <c r="K43" s="625">
        <f>IF(ISERROR(K42-L42),0,K42-L42)</f>
        <v>0</v>
      </c>
      <c r="L43" s="625">
        <f>IF(ISERROR(K43*J43),0,K43*J43)</f>
        <v>0</v>
      </c>
      <c r="M43" s="401"/>
      <c r="N43" s="381"/>
    </row>
    <row r="44" spans="1:25" ht="24.95" customHeight="1" x14ac:dyDescent="0.2">
      <c r="B44" s="1052" t="s">
        <v>371</v>
      </c>
      <c r="C44" s="1053"/>
      <c r="D44" s="1054">
        <f>IF(J43&gt;0,K43-L43,IF(J42&gt;0,K42-L42,IF(J41&gt;0,K41-L41,IF(J40&gt;0,K40-L40,K39-L39))))</f>
        <v>0</v>
      </c>
      <c r="E44" s="1055"/>
      <c r="F44" s="1055"/>
      <c r="G44" s="1055"/>
      <c r="H44" s="1055"/>
      <c r="I44" s="1055"/>
      <c r="J44" s="1055"/>
      <c r="K44" s="1055"/>
      <c r="L44" s="1055"/>
      <c r="M44" s="1056"/>
      <c r="N44" s="382"/>
    </row>
    <row r="45" spans="1:25" s="306" customFormat="1" ht="24.95" customHeight="1" x14ac:dyDescent="0.2">
      <c r="A45" s="164"/>
      <c r="B45" s="953" t="s">
        <v>298</v>
      </c>
      <c r="C45" s="954"/>
      <c r="D45" s="954"/>
      <c r="E45" s="954"/>
      <c r="F45" s="954"/>
      <c r="G45" s="954"/>
      <c r="H45" s="954"/>
      <c r="I45" s="954"/>
      <c r="J45" s="954"/>
      <c r="K45" s="954"/>
      <c r="L45" s="954"/>
      <c r="M45" s="955"/>
      <c r="N45" s="382"/>
      <c r="O45" s="164"/>
      <c r="P45" s="164"/>
      <c r="Q45" s="164"/>
      <c r="R45" s="164"/>
      <c r="S45" s="164"/>
      <c r="T45" s="164"/>
      <c r="U45" s="164"/>
      <c r="V45" s="164"/>
      <c r="W45" s="164"/>
      <c r="X45" s="164"/>
      <c r="Y45" s="164"/>
    </row>
    <row r="46" spans="1:25" s="507" customFormat="1" ht="39.950000000000003" customHeight="1" x14ac:dyDescent="0.2">
      <c r="B46" s="1019" t="s">
        <v>586</v>
      </c>
      <c r="C46" s="1020"/>
      <c r="D46" s="1057"/>
      <c r="E46" s="1058"/>
      <c r="F46" s="1058"/>
      <c r="G46" s="1058"/>
      <c r="H46" s="1058"/>
      <c r="I46" s="1058"/>
      <c r="J46" s="1058"/>
      <c r="K46" s="1058"/>
      <c r="L46" s="1058"/>
      <c r="M46" s="1059"/>
      <c r="N46" s="382"/>
    </row>
    <row r="47" spans="1:25" s="507" customFormat="1" ht="39.950000000000003" hidden="1" customHeight="1" x14ac:dyDescent="0.2">
      <c r="B47" s="1019" t="s">
        <v>587</v>
      </c>
      <c r="C47" s="1020"/>
      <c r="D47" s="1129"/>
      <c r="E47" s="1130"/>
      <c r="F47" s="1130"/>
      <c r="G47" s="1130"/>
      <c r="H47" s="1130"/>
      <c r="I47" s="1130"/>
      <c r="J47" s="1130"/>
      <c r="K47" s="1130"/>
      <c r="L47" s="1130"/>
      <c r="M47" s="1131"/>
      <c r="N47" s="382"/>
    </row>
    <row r="48" spans="1:25" s="507" customFormat="1" ht="79.5" customHeight="1" x14ac:dyDescent="0.2">
      <c r="B48" s="374" t="s">
        <v>318</v>
      </c>
      <c r="C48" s="375" t="s">
        <v>284</v>
      </c>
      <c r="D48" s="1034" t="s">
        <v>568</v>
      </c>
      <c r="E48" s="1034"/>
      <c r="F48" s="1034"/>
      <c r="G48" s="1040" t="s">
        <v>490</v>
      </c>
      <c r="H48" s="1041"/>
      <c r="I48" s="1042"/>
      <c r="J48" s="631" t="s">
        <v>269</v>
      </c>
      <c r="K48" s="631" t="s">
        <v>491</v>
      </c>
      <c r="L48" s="631" t="s">
        <v>492</v>
      </c>
      <c r="M48" s="376" t="s">
        <v>322</v>
      </c>
      <c r="N48" s="382"/>
    </row>
    <row r="49" spans="1:25" ht="24.95" customHeight="1" x14ac:dyDescent="0.2">
      <c r="B49" s="399"/>
      <c r="C49" s="400"/>
      <c r="D49" s="1043" t="e">
        <f>IF('SITE SUMMARY'!$G$35="High",E159,"-")</f>
        <v>#DIV/0!</v>
      </c>
      <c r="E49" s="1044"/>
      <c r="F49" s="1045"/>
      <c r="G49" s="1060"/>
      <c r="H49" s="1061"/>
      <c r="I49" s="1062"/>
      <c r="J49" s="378">
        <f>IF(ISERROR(VLOOKUP(C49,BMP,2,FALSE)),0,VLOOKUP(C49,BMP,2,FALSE))</f>
        <v>0</v>
      </c>
      <c r="K49" s="625">
        <f>IF(ISERROR($G$114),D46,$G$114+D46)</f>
        <v>0</v>
      </c>
      <c r="L49" s="625">
        <f>IF(ISERROR(K49*J49),0,K49*J49)</f>
        <v>0</v>
      </c>
      <c r="M49" s="401"/>
      <c r="N49" s="382"/>
      <c r="O49" s="379"/>
      <c r="P49" s="379"/>
      <c r="Q49" s="379"/>
      <c r="R49" s="379"/>
      <c r="S49" s="379"/>
      <c r="T49" s="379"/>
    </row>
    <row r="50" spans="1:25" ht="24.95" customHeight="1" x14ac:dyDescent="0.2">
      <c r="B50" s="399"/>
      <c r="C50" s="400"/>
      <c r="D50" s="1046"/>
      <c r="E50" s="1047"/>
      <c r="F50" s="1048"/>
      <c r="G50" s="1063"/>
      <c r="H50" s="1064"/>
      <c r="I50" s="1065"/>
      <c r="J50" s="378">
        <f>IF(ISERROR(VLOOKUP(C50,BMP,2,FALSE)),0,VLOOKUP(C50,BMP,2,FALSE))</f>
        <v>0</v>
      </c>
      <c r="K50" s="625">
        <f>IF(ISERROR(K49-L49),0,K49-L49)</f>
        <v>0</v>
      </c>
      <c r="L50" s="625">
        <f>IF(ISERROR(K50*J50),0,K50*J50)</f>
        <v>0</v>
      </c>
      <c r="M50" s="401"/>
      <c r="N50" s="382"/>
    </row>
    <row r="51" spans="1:25" ht="24.95" customHeight="1" x14ac:dyDescent="0.2">
      <c r="B51" s="399"/>
      <c r="C51" s="400"/>
      <c r="D51" s="1046"/>
      <c r="E51" s="1047"/>
      <c r="F51" s="1048"/>
      <c r="G51" s="1063"/>
      <c r="H51" s="1064"/>
      <c r="I51" s="1065"/>
      <c r="J51" s="378">
        <f>IF(ISERROR(VLOOKUP(C51,BMP,2,FALSE)),0,VLOOKUP(C51,BMP,2,FALSE))</f>
        <v>0</v>
      </c>
      <c r="K51" s="625">
        <f>IF(ISERROR(K50-L50),0,K50-L50)</f>
        <v>0</v>
      </c>
      <c r="L51" s="625">
        <f>IF(ISERROR(K51*J51),0,K51*J51)</f>
        <v>0</v>
      </c>
      <c r="M51" s="401"/>
      <c r="N51" s="382"/>
    </row>
    <row r="52" spans="1:25" ht="24.95" customHeight="1" x14ac:dyDescent="0.2">
      <c r="B52" s="399"/>
      <c r="C52" s="400"/>
      <c r="D52" s="1046"/>
      <c r="E52" s="1047"/>
      <c r="F52" s="1048"/>
      <c r="G52" s="1063"/>
      <c r="H52" s="1064"/>
      <c r="I52" s="1065"/>
      <c r="J52" s="378">
        <f>IF(ISERROR(VLOOKUP(C52,BMP,2,FALSE)),0,VLOOKUP(C52,BMP,2,FALSE))</f>
        <v>0</v>
      </c>
      <c r="K52" s="625">
        <f>IF(ISERROR(K51-L51),0,K51-L51)</f>
        <v>0</v>
      </c>
      <c r="L52" s="625">
        <f>IF(ISERROR(K52*J52),0,K52*J52)</f>
        <v>0</v>
      </c>
      <c r="M52" s="401"/>
      <c r="N52" s="382"/>
    </row>
    <row r="53" spans="1:25" ht="24.95" customHeight="1" x14ac:dyDescent="0.2">
      <c r="B53" s="399"/>
      <c r="C53" s="400"/>
      <c r="D53" s="1049"/>
      <c r="E53" s="1050"/>
      <c r="F53" s="1051"/>
      <c r="G53" s="1066"/>
      <c r="H53" s="1067"/>
      <c r="I53" s="1068"/>
      <c r="J53" s="378">
        <f>IF(ISERROR(VLOOKUP(C53,BMP,2,FALSE)),0,VLOOKUP(C53,BMP,2,FALSE))</f>
        <v>0</v>
      </c>
      <c r="K53" s="625">
        <f>IF(ISERROR(K52-L52),0,K52-L52)</f>
        <v>0</v>
      </c>
      <c r="L53" s="625">
        <f>IF(ISERROR(K53*J53),0,K53*J53)</f>
        <v>0</v>
      </c>
      <c r="M53" s="401"/>
      <c r="N53" s="381" t="e">
        <f>IF(G49&gt;(D49+5),"Exceeds Available Volume!","")</f>
        <v>#DIV/0!</v>
      </c>
    </row>
    <row r="54" spans="1:25" ht="24.95" customHeight="1" x14ac:dyDescent="0.2">
      <c r="B54" s="1052" t="s">
        <v>371</v>
      </c>
      <c r="C54" s="1053"/>
      <c r="D54" s="1054">
        <f>IF(J53&gt;0,K326-L53,IF(J52&gt;0,K52-L52,IF(J51&gt;0,K51-L51,IF(J50&gt;0,K50-L50,K49-L49))))</f>
        <v>0</v>
      </c>
      <c r="E54" s="1055"/>
      <c r="F54" s="1055"/>
      <c r="G54" s="1055"/>
      <c r="H54" s="1055"/>
      <c r="I54" s="1055"/>
      <c r="J54" s="1055"/>
      <c r="K54" s="1055"/>
      <c r="L54" s="1055"/>
      <c r="M54" s="1056"/>
      <c r="N54" s="382"/>
    </row>
    <row r="55" spans="1:25" s="306" customFormat="1" ht="24.95" customHeight="1" x14ac:dyDescent="0.2">
      <c r="A55" s="164"/>
      <c r="B55" s="953" t="s">
        <v>287</v>
      </c>
      <c r="C55" s="954"/>
      <c r="D55" s="954"/>
      <c r="E55" s="954"/>
      <c r="F55" s="954"/>
      <c r="G55" s="954"/>
      <c r="H55" s="954"/>
      <c r="I55" s="954"/>
      <c r="J55" s="954"/>
      <c r="K55" s="954"/>
      <c r="L55" s="954"/>
      <c r="M55" s="955"/>
      <c r="N55" s="382"/>
      <c r="O55" s="164"/>
      <c r="P55" s="164"/>
      <c r="Q55" s="164"/>
      <c r="R55" s="164"/>
      <c r="S55" s="164"/>
      <c r="T55" s="164"/>
      <c r="U55" s="164"/>
      <c r="V55" s="164"/>
      <c r="W55" s="164"/>
      <c r="X55" s="164"/>
      <c r="Y55" s="164"/>
    </row>
    <row r="56" spans="1:25" s="507" customFormat="1" ht="39.75" customHeight="1" x14ac:dyDescent="0.2">
      <c r="B56" s="1019" t="s">
        <v>499</v>
      </c>
      <c r="C56" s="1020"/>
      <c r="D56" s="1057"/>
      <c r="E56" s="1058"/>
      <c r="F56" s="1058"/>
      <c r="G56" s="1058"/>
      <c r="H56" s="1058"/>
      <c r="I56" s="1058"/>
      <c r="J56" s="1058"/>
      <c r="K56" s="1058"/>
      <c r="L56" s="1058"/>
      <c r="M56" s="1059"/>
      <c r="N56" s="382"/>
    </row>
    <row r="57" spans="1:25" s="507" customFormat="1" ht="39.75" hidden="1" customHeight="1" x14ac:dyDescent="0.2">
      <c r="B57" s="1019" t="s">
        <v>500</v>
      </c>
      <c r="C57" s="1020"/>
      <c r="D57" s="1129"/>
      <c r="E57" s="1130"/>
      <c r="F57" s="1130"/>
      <c r="G57" s="1130"/>
      <c r="H57" s="1130"/>
      <c r="I57" s="1130"/>
      <c r="J57" s="1130"/>
      <c r="K57" s="1130"/>
      <c r="L57" s="1130"/>
      <c r="M57" s="1131"/>
      <c r="N57" s="382"/>
    </row>
    <row r="58" spans="1:25" s="507" customFormat="1" ht="79.5" customHeight="1" x14ac:dyDescent="0.2">
      <c r="B58" s="374" t="s">
        <v>318</v>
      </c>
      <c r="C58" s="375" t="s">
        <v>284</v>
      </c>
      <c r="D58" s="1034" t="s">
        <v>568</v>
      </c>
      <c r="E58" s="1034"/>
      <c r="F58" s="1034"/>
      <c r="G58" s="1040" t="s">
        <v>490</v>
      </c>
      <c r="H58" s="1041"/>
      <c r="I58" s="1042"/>
      <c r="J58" s="631" t="s">
        <v>269</v>
      </c>
      <c r="K58" s="631" t="s">
        <v>491</v>
      </c>
      <c r="L58" s="631" t="s">
        <v>492</v>
      </c>
      <c r="M58" s="376" t="s">
        <v>322</v>
      </c>
      <c r="N58" s="382"/>
    </row>
    <row r="59" spans="1:25" ht="24.95" customHeight="1" x14ac:dyDescent="0.2">
      <c r="B59" s="399"/>
      <c r="C59" s="400"/>
      <c r="D59" s="1043" t="e">
        <f>IF('SITE SUMMARY'!$G$35="High",E163,"-")</f>
        <v>#DIV/0!</v>
      </c>
      <c r="E59" s="1044"/>
      <c r="F59" s="1045"/>
      <c r="G59" s="1060"/>
      <c r="H59" s="1061"/>
      <c r="I59" s="1062"/>
      <c r="J59" s="378">
        <f>IF(ISERROR(VLOOKUP(C59,BMP,2,FALSE)),0,VLOOKUP(C59,BMP,2,FALSE))</f>
        <v>0</v>
      </c>
      <c r="K59" s="625">
        <f>IF(ISERROR($H$114),D56,$H$114+D56)</f>
        <v>0</v>
      </c>
      <c r="L59" s="625">
        <f>IF(ISERROR(K59*J59),0,K59*J59)</f>
        <v>0</v>
      </c>
      <c r="M59" s="401"/>
      <c r="N59" s="382"/>
      <c r="O59" s="379"/>
      <c r="P59" s="379"/>
      <c r="Q59" s="379"/>
      <c r="R59" s="379"/>
      <c r="S59" s="379"/>
      <c r="T59" s="379"/>
    </row>
    <row r="60" spans="1:25" ht="24.95" customHeight="1" x14ac:dyDescent="0.2">
      <c r="B60" s="399"/>
      <c r="C60" s="400"/>
      <c r="D60" s="1046"/>
      <c r="E60" s="1047"/>
      <c r="F60" s="1048"/>
      <c r="G60" s="1063"/>
      <c r="H60" s="1064"/>
      <c r="I60" s="1065"/>
      <c r="J60" s="378">
        <f>IF(ISERROR(VLOOKUP(C60,BMP,2,FALSE)),0,VLOOKUP(C60,BMP,2,FALSE))</f>
        <v>0</v>
      </c>
      <c r="K60" s="625">
        <f>IF(ISERROR(K59-L59),0,K59-L59)</f>
        <v>0</v>
      </c>
      <c r="L60" s="625">
        <f>IF(ISERROR(K60*J60),0,K60*J60)</f>
        <v>0</v>
      </c>
      <c r="M60" s="401"/>
      <c r="N60" s="382"/>
    </row>
    <row r="61" spans="1:25" ht="24.95" customHeight="1" x14ac:dyDescent="0.2">
      <c r="B61" s="399"/>
      <c r="C61" s="400"/>
      <c r="D61" s="1046"/>
      <c r="E61" s="1047"/>
      <c r="F61" s="1048"/>
      <c r="G61" s="1063"/>
      <c r="H61" s="1064"/>
      <c r="I61" s="1065"/>
      <c r="J61" s="378">
        <f>IF(ISERROR(VLOOKUP(C61,BMP,2,FALSE)),0,VLOOKUP(C61,BMP,2,FALSE))</f>
        <v>0</v>
      </c>
      <c r="K61" s="625">
        <f>IF(ISERROR(K60-L60),0,K60-L60)</f>
        <v>0</v>
      </c>
      <c r="L61" s="625">
        <f>IF(ISERROR(K61*J61),0,K61*J61)</f>
        <v>0</v>
      </c>
      <c r="M61" s="401"/>
      <c r="N61" s="382"/>
    </row>
    <row r="62" spans="1:25" ht="24.95" customHeight="1" x14ac:dyDescent="0.2">
      <c r="B62" s="399"/>
      <c r="C62" s="400"/>
      <c r="D62" s="1046"/>
      <c r="E62" s="1047"/>
      <c r="F62" s="1048"/>
      <c r="G62" s="1063"/>
      <c r="H62" s="1064"/>
      <c r="I62" s="1065"/>
      <c r="J62" s="378">
        <f>IF(ISERROR(VLOOKUP(C62,BMP,2,FALSE)),0,VLOOKUP(C62,BMP,2,FALSE))</f>
        <v>0</v>
      </c>
      <c r="K62" s="625">
        <f>IF(ISERROR(K61-L61),0,K61-L61)</f>
        <v>0</v>
      </c>
      <c r="L62" s="625">
        <f>IF(ISERROR(K62*J62),0,K62*J62)</f>
        <v>0</v>
      </c>
      <c r="M62" s="401"/>
      <c r="N62" s="382"/>
    </row>
    <row r="63" spans="1:25" ht="24.95" customHeight="1" x14ac:dyDescent="0.2">
      <c r="B63" s="399"/>
      <c r="C63" s="400"/>
      <c r="D63" s="1049"/>
      <c r="E63" s="1050"/>
      <c r="F63" s="1051"/>
      <c r="G63" s="1066"/>
      <c r="H63" s="1067"/>
      <c r="I63" s="1068"/>
      <c r="J63" s="378">
        <f>IF(ISERROR(VLOOKUP(C63,BMP,2,FALSE)),0,VLOOKUP(C63,BMP,2,FALSE))</f>
        <v>0</v>
      </c>
      <c r="K63" s="625">
        <f>IF(ISERROR(K62-L62),0,K62-L62)</f>
        <v>0</v>
      </c>
      <c r="L63" s="625">
        <f>IF(ISERROR(K63*J63),0,K63*J63)</f>
        <v>0</v>
      </c>
      <c r="M63" s="401"/>
      <c r="N63" s="381" t="e">
        <f>IF(G59&gt;(D59+5),"Exceeds Available Volume!","")</f>
        <v>#DIV/0!</v>
      </c>
    </row>
    <row r="64" spans="1:25" ht="24.95" customHeight="1" x14ac:dyDescent="0.2">
      <c r="B64" s="1052" t="s">
        <v>371</v>
      </c>
      <c r="C64" s="1053"/>
      <c r="D64" s="1054">
        <f>IF(J63&gt;0,K63-L63,IF(J62&gt;0,K62-L62,IF(J61&gt;0,K61-L61,IF(J60&gt;0,K60-L60,K59-L59))))</f>
        <v>0</v>
      </c>
      <c r="E64" s="1055"/>
      <c r="F64" s="1055"/>
      <c r="G64" s="1055"/>
      <c r="H64" s="1055"/>
      <c r="I64" s="1055"/>
      <c r="J64" s="1055"/>
      <c r="K64" s="1055"/>
      <c r="L64" s="1055"/>
      <c r="M64" s="1056"/>
      <c r="N64" s="382"/>
    </row>
    <row r="65" spans="1:25" s="306" customFormat="1" ht="24.95" customHeight="1" x14ac:dyDescent="0.2">
      <c r="A65" s="164"/>
      <c r="B65" s="953" t="s">
        <v>372</v>
      </c>
      <c r="C65" s="954"/>
      <c r="D65" s="954"/>
      <c r="E65" s="954"/>
      <c r="F65" s="954"/>
      <c r="G65" s="954"/>
      <c r="H65" s="954"/>
      <c r="I65" s="954"/>
      <c r="J65" s="954"/>
      <c r="K65" s="954"/>
      <c r="L65" s="954"/>
      <c r="M65" s="955"/>
      <c r="N65" s="334"/>
      <c r="O65" s="164"/>
      <c r="P65" s="164"/>
      <c r="Q65" s="164"/>
      <c r="R65" s="164"/>
      <c r="S65" s="164"/>
      <c r="T65" s="164"/>
      <c r="U65" s="164"/>
      <c r="V65" s="164"/>
      <c r="W65" s="164"/>
      <c r="X65" s="164"/>
      <c r="Y65" s="164"/>
    </row>
    <row r="66" spans="1:25" s="507" customFormat="1" ht="39.950000000000003" customHeight="1" x14ac:dyDescent="0.2">
      <c r="B66" s="1019" t="s">
        <v>373</v>
      </c>
      <c r="C66" s="1020"/>
      <c r="D66" s="1057"/>
      <c r="E66" s="1058"/>
      <c r="F66" s="1058"/>
      <c r="G66" s="1058"/>
      <c r="H66" s="1058"/>
      <c r="I66" s="1058"/>
      <c r="J66" s="1058"/>
      <c r="K66" s="1058"/>
      <c r="L66" s="1058"/>
      <c r="M66" s="1059"/>
      <c r="N66" s="382"/>
    </row>
    <row r="67" spans="1:25" s="507" customFormat="1" ht="39.950000000000003" hidden="1" customHeight="1" x14ac:dyDescent="0.2">
      <c r="B67" s="1019" t="s">
        <v>501</v>
      </c>
      <c r="C67" s="1020"/>
      <c r="D67" s="1129"/>
      <c r="E67" s="1130"/>
      <c r="F67" s="1130"/>
      <c r="G67" s="1130"/>
      <c r="H67" s="1130"/>
      <c r="I67" s="1130"/>
      <c r="J67" s="1130"/>
      <c r="K67" s="1130"/>
      <c r="L67" s="1130"/>
      <c r="M67" s="1131"/>
      <c r="N67" s="382"/>
    </row>
    <row r="68" spans="1:25" s="507" customFormat="1" ht="79.5" customHeight="1" x14ac:dyDescent="0.2">
      <c r="B68" s="374" t="s">
        <v>318</v>
      </c>
      <c r="C68" s="375" t="s">
        <v>284</v>
      </c>
      <c r="D68" s="1034" t="s">
        <v>568</v>
      </c>
      <c r="E68" s="1034"/>
      <c r="F68" s="1034"/>
      <c r="G68" s="1034" t="s">
        <v>490</v>
      </c>
      <c r="H68" s="1034"/>
      <c r="I68" s="1034"/>
      <c r="J68" s="631" t="s">
        <v>269</v>
      </c>
      <c r="K68" s="631" t="s">
        <v>491</v>
      </c>
      <c r="L68" s="631" t="s">
        <v>492</v>
      </c>
      <c r="M68" s="376" t="s">
        <v>322</v>
      </c>
      <c r="N68" s="382"/>
    </row>
    <row r="69" spans="1:25" ht="24.95" customHeight="1" x14ac:dyDescent="0.2">
      <c r="B69" s="399"/>
      <c r="C69" s="400"/>
      <c r="D69" s="1043" t="e">
        <f>IF('SITE SUMMARY'!$G$35="High",E167,"-")</f>
        <v>#DIV/0!</v>
      </c>
      <c r="E69" s="1044"/>
      <c r="F69" s="1045"/>
      <c r="G69" s="1060"/>
      <c r="H69" s="1061"/>
      <c r="I69" s="1062"/>
      <c r="J69" s="378">
        <f>IF(ISERROR(VLOOKUP(C69,BMP,2,FALSE)),0,VLOOKUP(C69,BMP,2,FALSE))</f>
        <v>0</v>
      </c>
      <c r="K69" s="625">
        <f>IF(ISERROR($I$114),D66,$I$114+D66)</f>
        <v>0</v>
      </c>
      <c r="L69" s="625">
        <f>IF(ISERROR(K69*J69),0,K69*J69)</f>
        <v>0</v>
      </c>
      <c r="M69" s="401"/>
      <c r="N69" s="382"/>
      <c r="O69" s="379"/>
      <c r="P69" s="379"/>
      <c r="Q69" s="379"/>
      <c r="R69" s="379"/>
      <c r="S69" s="379"/>
      <c r="T69" s="379"/>
    </row>
    <row r="70" spans="1:25" ht="24.95" customHeight="1" x14ac:dyDescent="0.2">
      <c r="B70" s="399"/>
      <c r="C70" s="400"/>
      <c r="D70" s="1046"/>
      <c r="E70" s="1047"/>
      <c r="F70" s="1048"/>
      <c r="G70" s="1063"/>
      <c r="H70" s="1064"/>
      <c r="I70" s="1065"/>
      <c r="J70" s="378">
        <f>IF(ISERROR(VLOOKUP(C70,BMP,2,FALSE)),0,VLOOKUP(C70,BMP,2,FALSE))</f>
        <v>0</v>
      </c>
      <c r="K70" s="625">
        <f>IF(ISERROR(K69-L69),0,K69-L69)</f>
        <v>0</v>
      </c>
      <c r="L70" s="625">
        <f>IF(ISERROR(K70*J70),0,K70*J70)</f>
        <v>0</v>
      </c>
      <c r="M70" s="401"/>
      <c r="N70" s="382"/>
    </row>
    <row r="71" spans="1:25" ht="24.95" customHeight="1" x14ac:dyDescent="0.2">
      <c r="B71" s="399"/>
      <c r="C71" s="400"/>
      <c r="D71" s="1046"/>
      <c r="E71" s="1047"/>
      <c r="F71" s="1048"/>
      <c r="G71" s="1063"/>
      <c r="H71" s="1064"/>
      <c r="I71" s="1065"/>
      <c r="J71" s="378">
        <f>IF(ISERROR(VLOOKUP(C71,BMP,2,FALSE)),0,VLOOKUP(C71,BMP,2,FALSE))</f>
        <v>0</v>
      </c>
      <c r="K71" s="625">
        <f>IF(ISERROR(K70-L70),0,K70-L70)</f>
        <v>0</v>
      </c>
      <c r="L71" s="625">
        <f>IF(ISERROR(K71*J71),0,K71*J71)</f>
        <v>0</v>
      </c>
      <c r="M71" s="401"/>
      <c r="N71" s="382"/>
    </row>
    <row r="72" spans="1:25" ht="24.95" customHeight="1" x14ac:dyDescent="0.2">
      <c r="B72" s="399"/>
      <c r="C72" s="400"/>
      <c r="D72" s="1046"/>
      <c r="E72" s="1047"/>
      <c r="F72" s="1048"/>
      <c r="G72" s="1063"/>
      <c r="H72" s="1064"/>
      <c r="I72" s="1065"/>
      <c r="J72" s="378">
        <f>IF(ISERROR(VLOOKUP(C72,BMP,2,FALSE)),0,VLOOKUP(C72,BMP,2,FALSE))</f>
        <v>0</v>
      </c>
      <c r="K72" s="625">
        <f>IF(ISERROR(K71-L71),0,K71-L71)</f>
        <v>0</v>
      </c>
      <c r="L72" s="625">
        <f>IF(ISERROR(K72*J72),0,K72*J72)</f>
        <v>0</v>
      </c>
      <c r="M72" s="401"/>
      <c r="N72" s="382"/>
    </row>
    <row r="73" spans="1:25" ht="24.95" customHeight="1" x14ac:dyDescent="0.2">
      <c r="B73" s="399"/>
      <c r="C73" s="400"/>
      <c r="D73" s="1049"/>
      <c r="E73" s="1050"/>
      <c r="F73" s="1051"/>
      <c r="G73" s="1066"/>
      <c r="H73" s="1067"/>
      <c r="I73" s="1068"/>
      <c r="J73" s="378">
        <f>IF(ISERROR(VLOOKUP(C73,BMP,2,FALSE)),0,VLOOKUP(C73,BMP,2,FALSE))</f>
        <v>0</v>
      </c>
      <c r="K73" s="625">
        <f>IF(ISERROR(K72-L72),0,K72-L72)</f>
        <v>0</v>
      </c>
      <c r="L73" s="625">
        <f>IF(ISERROR(K73*J73),0,K73*J73)</f>
        <v>0</v>
      </c>
      <c r="M73" s="401"/>
      <c r="N73" s="381" t="e">
        <f>IF(G69&gt;(D69+5),"Exceeds Available Volume!","")</f>
        <v>#DIV/0!</v>
      </c>
    </row>
    <row r="74" spans="1:25" ht="24.95" customHeight="1" x14ac:dyDescent="0.2">
      <c r="B74" s="1052" t="s">
        <v>371</v>
      </c>
      <c r="C74" s="1053"/>
      <c r="D74" s="1054">
        <f>IF(J73&gt;0,K73-L73,IF(J72&gt;0,K72-L72,IF(J71&gt;0,K71-L71,IF(J70&gt;0,K70-L70,K69-L69))))</f>
        <v>0</v>
      </c>
      <c r="E74" s="1055"/>
      <c r="F74" s="1055"/>
      <c r="G74" s="1055"/>
      <c r="H74" s="1055"/>
      <c r="I74" s="1055"/>
      <c r="J74" s="1055"/>
      <c r="K74" s="1055"/>
      <c r="L74" s="1055"/>
      <c r="M74" s="1056"/>
      <c r="N74" s="382"/>
    </row>
    <row r="75" spans="1:25" ht="24.95" customHeight="1" x14ac:dyDescent="0.2">
      <c r="B75" s="1116" t="s">
        <v>660</v>
      </c>
      <c r="C75" s="1117"/>
      <c r="D75" s="1117"/>
      <c r="E75" s="1117"/>
      <c r="F75" s="1117"/>
      <c r="G75" s="1117"/>
      <c r="H75" s="1117"/>
      <c r="I75" s="1117"/>
      <c r="J75" s="1117"/>
      <c r="K75" s="1117"/>
      <c r="L75" s="1117"/>
      <c r="M75" s="1118"/>
      <c r="N75" s="1132" t="s">
        <v>422</v>
      </c>
    </row>
    <row r="76" spans="1:25" ht="24.95" customHeight="1" x14ac:dyDescent="0.2">
      <c r="B76" s="1110" t="s">
        <v>493</v>
      </c>
      <c r="C76" s="1111"/>
      <c r="D76" s="1112">
        <f>G29+G39+G49+G59+G69</f>
        <v>0</v>
      </c>
      <c r="E76" s="1113"/>
      <c r="F76" s="1113"/>
      <c r="G76" s="1113"/>
      <c r="H76" s="1113"/>
      <c r="I76" s="1113"/>
      <c r="J76" s="1113"/>
      <c r="K76" s="1113"/>
      <c r="L76" s="1113"/>
      <c r="M76" s="1114"/>
      <c r="N76" s="1132"/>
    </row>
    <row r="77" spans="1:25" ht="24.95" customHeight="1" x14ac:dyDescent="0.2">
      <c r="B77" s="1069" t="s">
        <v>338</v>
      </c>
      <c r="C77" s="884"/>
      <c r="D77" s="1070">
        <f>SUM(L29:L33,L39:L43,L49:L53,L59:L63,L69:L73)</f>
        <v>0</v>
      </c>
      <c r="E77" s="1070"/>
      <c r="F77" s="1070"/>
      <c r="G77" s="1070"/>
      <c r="H77" s="1070"/>
      <c r="I77" s="1070"/>
      <c r="J77" s="1070"/>
      <c r="K77" s="1070"/>
      <c r="L77" s="1070"/>
      <c r="M77" s="1071"/>
      <c r="N77" s="1132"/>
    </row>
    <row r="78" spans="1:25" ht="24.95" customHeight="1" x14ac:dyDescent="0.2">
      <c r="B78" s="1099" t="s">
        <v>337</v>
      </c>
      <c r="C78" s="1100"/>
      <c r="D78" s="1100"/>
      <c r="E78" s="1100"/>
      <c r="F78" s="1100"/>
      <c r="G78" s="1100"/>
      <c r="H78" s="1100"/>
      <c r="I78" s="1100"/>
      <c r="J78" s="1100"/>
      <c r="K78" s="1100"/>
      <c r="L78" s="1100"/>
      <c r="M78" s="1101"/>
      <c r="N78" s="1132"/>
    </row>
    <row r="79" spans="1:25" ht="24.95" customHeight="1" x14ac:dyDescent="0.2">
      <c r="B79" s="883" t="s">
        <v>465</v>
      </c>
      <c r="C79" s="884"/>
      <c r="D79" s="1072">
        <f>IF(('DA6'!H83-D76)&lt;0,0,'DA6'!H83-D76)</f>
        <v>0</v>
      </c>
      <c r="E79" s="1072"/>
      <c r="F79" s="1072"/>
      <c r="G79" s="1072"/>
      <c r="H79" s="1072"/>
      <c r="I79" s="1072"/>
      <c r="J79" s="1072"/>
      <c r="K79" s="1072"/>
      <c r="L79" s="1072"/>
      <c r="M79" s="1073"/>
      <c r="N79" s="1132"/>
    </row>
    <row r="80" spans="1:25" ht="24.95" customHeight="1" x14ac:dyDescent="0.2">
      <c r="B80" s="1069" t="s">
        <v>413</v>
      </c>
      <c r="C80" s="884"/>
      <c r="D80" s="1074" t="e">
        <f>((((D79)/(C9*43560)))*12)</f>
        <v>#DIV/0!</v>
      </c>
      <c r="E80" s="1074"/>
      <c r="F80" s="1074"/>
      <c r="G80" s="1074"/>
      <c r="H80" s="1074"/>
      <c r="I80" s="1074"/>
      <c r="J80" s="1074"/>
      <c r="K80" s="1074"/>
      <c r="L80" s="1074"/>
      <c r="M80" s="1075"/>
      <c r="N80" s="1132"/>
    </row>
    <row r="81" spans="1:14" ht="24.95" customHeight="1" x14ac:dyDescent="0.2">
      <c r="B81" s="1069" t="s">
        <v>409</v>
      </c>
      <c r="C81" s="884"/>
      <c r="D81" s="1076">
        <f>IF(ISERROR(VLOOKUP($D$80,CN,2,TRUE)),0,VLOOKUP($D$80,CN,2,TRUE))</f>
        <v>0</v>
      </c>
      <c r="E81" s="1076"/>
      <c r="F81" s="1076"/>
      <c r="G81" s="1076"/>
      <c r="H81" s="1076"/>
      <c r="I81" s="1076"/>
      <c r="J81" s="1076"/>
      <c r="K81" s="1076"/>
      <c r="L81" s="1076"/>
      <c r="M81" s="1077"/>
      <c r="N81" s="1132"/>
    </row>
    <row r="82" spans="1:14" ht="33.75" customHeight="1" x14ac:dyDescent="0.2">
      <c r="B82" s="1069" t="s">
        <v>353</v>
      </c>
      <c r="C82" s="884"/>
      <c r="D82" s="1102"/>
      <c r="E82" s="1103"/>
      <c r="F82" s="1103"/>
      <c r="G82" s="1103"/>
      <c r="H82" s="1103"/>
      <c r="I82" s="1103"/>
      <c r="J82" s="1103"/>
      <c r="K82" s="1103"/>
      <c r="L82" s="1103"/>
      <c r="M82" s="1104"/>
      <c r="N82" s="1132"/>
    </row>
    <row r="83" spans="1:14" ht="24.95" customHeight="1" x14ac:dyDescent="0.2">
      <c r="B83" s="1099" t="s">
        <v>374</v>
      </c>
      <c r="C83" s="1100"/>
      <c r="D83" s="1100"/>
      <c r="E83" s="1100"/>
      <c r="F83" s="1100"/>
      <c r="G83" s="1100"/>
      <c r="H83" s="1100"/>
      <c r="I83" s="1100"/>
      <c r="J83" s="1100"/>
      <c r="K83" s="1100"/>
      <c r="L83" s="1100"/>
      <c r="M83" s="1101"/>
      <c r="N83" s="1132"/>
    </row>
    <row r="84" spans="1:14" ht="24.95" customHeight="1" x14ac:dyDescent="0.2">
      <c r="B84" s="883" t="s">
        <v>416</v>
      </c>
      <c r="C84" s="884"/>
      <c r="D84" s="1072" t="e">
        <f>IF(('DA6'!H88-D76)&lt;0,0,'DA6'!H88-D76)</f>
        <v>#DIV/0!</v>
      </c>
      <c r="E84" s="1072"/>
      <c r="F84" s="1072"/>
      <c r="G84" s="1072"/>
      <c r="H84" s="1072"/>
      <c r="I84" s="1072"/>
      <c r="J84" s="1072"/>
      <c r="K84" s="1072"/>
      <c r="L84" s="1072"/>
      <c r="M84" s="1073"/>
      <c r="N84" s="1132"/>
    </row>
    <row r="85" spans="1:14" ht="24.95" customHeight="1" x14ac:dyDescent="0.2">
      <c r="B85" s="1105" t="s">
        <v>411</v>
      </c>
      <c r="C85" s="1106"/>
      <c r="D85" s="1074" t="e">
        <f>((D84/(C9*43560)))*12</f>
        <v>#DIV/0!</v>
      </c>
      <c r="E85" s="1074"/>
      <c r="F85" s="1074"/>
      <c r="G85" s="1074"/>
      <c r="H85" s="1074"/>
      <c r="I85" s="1074"/>
      <c r="J85" s="1074"/>
      <c r="K85" s="1074"/>
      <c r="L85" s="1074"/>
      <c r="M85" s="1075"/>
      <c r="N85" s="1132"/>
    </row>
    <row r="86" spans="1:14" ht="24.95" customHeight="1" x14ac:dyDescent="0.2">
      <c r="B86" s="1069" t="s">
        <v>431</v>
      </c>
      <c r="C86" s="884"/>
      <c r="D86" s="1076">
        <f>IF(ISERROR(VLOOKUP(D85,CN2YR,2,TRUE)),0,VLOOKUP(D85,CN2YR,2,TRUE))</f>
        <v>0</v>
      </c>
      <c r="E86" s="1076"/>
      <c r="F86" s="1076"/>
      <c r="G86" s="1076"/>
      <c r="H86" s="1076"/>
      <c r="I86" s="1076"/>
      <c r="J86" s="1076"/>
      <c r="K86" s="1076"/>
      <c r="L86" s="1076"/>
      <c r="M86" s="1077"/>
      <c r="N86" s="1132"/>
    </row>
    <row r="87" spans="1:14" ht="33.75" customHeight="1" x14ac:dyDescent="0.2">
      <c r="B87" s="1069" t="s">
        <v>410</v>
      </c>
      <c r="C87" s="884"/>
      <c r="D87" s="1102"/>
      <c r="E87" s="1103"/>
      <c r="F87" s="1103"/>
      <c r="G87" s="1103"/>
      <c r="H87" s="1103"/>
      <c r="I87" s="1103"/>
      <c r="J87" s="1103"/>
      <c r="K87" s="1103"/>
      <c r="L87" s="1103"/>
      <c r="M87" s="1104"/>
      <c r="N87" s="1132"/>
    </row>
    <row r="88" spans="1:14" ht="24.95" customHeight="1" x14ac:dyDescent="0.2">
      <c r="B88" s="1099" t="s">
        <v>376</v>
      </c>
      <c r="C88" s="1100"/>
      <c r="D88" s="1100"/>
      <c r="E88" s="1100"/>
      <c r="F88" s="1100"/>
      <c r="G88" s="1100"/>
      <c r="H88" s="1100"/>
      <c r="I88" s="1100"/>
      <c r="J88" s="1100"/>
      <c r="K88" s="1100"/>
      <c r="L88" s="1100"/>
      <c r="M88" s="1101"/>
      <c r="N88" s="1132"/>
    </row>
    <row r="89" spans="1:14" s="169" customFormat="1" ht="24.95" hidden="1" customHeight="1" x14ac:dyDescent="0.2">
      <c r="A89" s="216"/>
      <c r="B89" s="1097" t="s">
        <v>417</v>
      </c>
      <c r="C89" s="1098"/>
      <c r="D89" s="1078" t="e">
        <f>('DA6'!H91/12)*('DA6'!H10*43560)</f>
        <v>#DIV/0!</v>
      </c>
      <c r="E89" s="1079"/>
      <c r="F89" s="1079"/>
      <c r="G89" s="1079"/>
      <c r="H89" s="1079"/>
      <c r="I89" s="1079"/>
      <c r="J89" s="1079"/>
      <c r="K89" s="1079"/>
      <c r="L89" s="1079"/>
      <c r="M89" s="1080"/>
      <c r="N89" s="1132"/>
    </row>
    <row r="90" spans="1:14" ht="24.95" customHeight="1" x14ac:dyDescent="0.2">
      <c r="B90" s="883" t="s">
        <v>466</v>
      </c>
      <c r="C90" s="884"/>
      <c r="D90" s="1072" t="e">
        <f>IF(('DA6'!H92-D76)&lt;0,0,'DA6'!H92-D76)</f>
        <v>#DIV/0!</v>
      </c>
      <c r="E90" s="1072"/>
      <c r="F90" s="1072"/>
      <c r="G90" s="1072"/>
      <c r="H90" s="1072"/>
      <c r="I90" s="1072"/>
      <c r="J90" s="1072"/>
      <c r="K90" s="1072"/>
      <c r="L90" s="1072"/>
      <c r="M90" s="1073"/>
      <c r="N90" s="1132"/>
    </row>
    <row r="91" spans="1:14" ht="24.95" customHeight="1" x14ac:dyDescent="0.2">
      <c r="B91" s="1069" t="s">
        <v>432</v>
      </c>
      <c r="C91" s="884"/>
      <c r="D91" s="1074" t="e">
        <f>((D90/(C9*43560)))*12</f>
        <v>#DIV/0!</v>
      </c>
      <c r="E91" s="1074"/>
      <c r="F91" s="1074"/>
      <c r="G91" s="1074"/>
      <c r="H91" s="1074"/>
      <c r="I91" s="1074"/>
      <c r="J91" s="1074"/>
      <c r="K91" s="1074"/>
      <c r="L91" s="1074"/>
      <c r="M91" s="1075"/>
      <c r="N91" s="1132"/>
    </row>
    <row r="92" spans="1:14" ht="24.95" customHeight="1" x14ac:dyDescent="0.2">
      <c r="B92" s="1105" t="s">
        <v>433</v>
      </c>
      <c r="C92" s="1106"/>
      <c r="D92" s="1076">
        <f>IF(ISERROR(VLOOKUP(D91,CN2YR,2,TRUE)),0,VLOOKUP(D91,CN2YR,2,TRUE))</f>
        <v>0</v>
      </c>
      <c r="E92" s="1076"/>
      <c r="F92" s="1076"/>
      <c r="G92" s="1076"/>
      <c r="H92" s="1076"/>
      <c r="I92" s="1076"/>
      <c r="J92" s="1076"/>
      <c r="K92" s="1076"/>
      <c r="L92" s="1076"/>
      <c r="M92" s="1077"/>
      <c r="N92" s="1132"/>
    </row>
    <row r="93" spans="1:14" ht="33.75" customHeight="1" thickBot="1" x14ac:dyDescent="0.25">
      <c r="B93" s="1021" t="s">
        <v>412</v>
      </c>
      <c r="C93" s="1022"/>
      <c r="D93" s="1023"/>
      <c r="E93" s="1024"/>
      <c r="F93" s="1024"/>
      <c r="G93" s="1024"/>
      <c r="H93" s="1024"/>
      <c r="I93" s="1024"/>
      <c r="J93" s="1024"/>
      <c r="K93" s="1024"/>
      <c r="L93" s="1024"/>
      <c r="M93" s="1025"/>
      <c r="N93" s="1132"/>
    </row>
    <row r="94" spans="1:14" s="507" customFormat="1" x14ac:dyDescent="0.2">
      <c r="K94" s="573"/>
    </row>
    <row r="95" spans="1:14" s="507" customFormat="1" hidden="1" x14ac:dyDescent="0.2">
      <c r="K95" s="573"/>
    </row>
    <row r="96" spans="1:14" s="507" customFormat="1" hidden="1" x14ac:dyDescent="0.2">
      <c r="K96" s="573"/>
    </row>
    <row r="97" spans="1:25" s="507" customFormat="1" hidden="1" x14ac:dyDescent="0.2">
      <c r="K97" s="573"/>
    </row>
    <row r="98" spans="1:25" s="507" customFormat="1" hidden="1" x14ac:dyDescent="0.2">
      <c r="K98" s="573"/>
      <c r="N98" s="344"/>
    </row>
    <row r="99" spans="1:25" s="383" customFormat="1" ht="15.75" hidden="1" x14ac:dyDescent="0.25">
      <c r="A99" s="508"/>
      <c r="B99" s="313" t="s">
        <v>126</v>
      </c>
      <c r="K99" s="449"/>
    </row>
    <row r="100" spans="1:25" hidden="1" x14ac:dyDescent="0.2">
      <c r="B100" s="507"/>
      <c r="C100" s="507"/>
      <c r="D100" s="507"/>
      <c r="E100" s="507"/>
      <c r="F100" s="507"/>
      <c r="G100" s="507"/>
      <c r="H100" s="507"/>
      <c r="I100" s="507"/>
      <c r="J100" s="507"/>
      <c r="K100" s="573"/>
      <c r="L100" s="507"/>
      <c r="M100" s="507"/>
      <c r="N100" s="347"/>
    </row>
    <row r="101" spans="1:25" hidden="1" x14ac:dyDescent="0.2">
      <c r="B101" s="507"/>
      <c r="C101" s="507"/>
      <c r="D101" s="507"/>
      <c r="E101" s="507"/>
      <c r="F101" s="507"/>
      <c r="G101" s="507"/>
      <c r="H101" s="507"/>
      <c r="I101" s="507"/>
      <c r="J101" s="507"/>
      <c r="K101" s="573"/>
      <c r="L101" s="507"/>
      <c r="M101" s="507"/>
      <c r="N101" s="347"/>
    </row>
    <row r="102" spans="1:25" ht="18" hidden="1" x14ac:dyDescent="0.25">
      <c r="B102" s="384" t="s">
        <v>276</v>
      </c>
      <c r="C102" s="384"/>
      <c r="D102" s="384"/>
      <c r="E102" s="384"/>
      <c r="F102" s="384"/>
      <c r="G102" s="384"/>
      <c r="H102" s="384"/>
      <c r="I102" s="384"/>
      <c r="J102" s="384"/>
      <c r="K102" s="384"/>
      <c r="L102" s="384"/>
      <c r="M102" s="384"/>
      <c r="N102" s="347"/>
    </row>
    <row r="103" spans="1:25" hidden="1" x14ac:dyDescent="0.2">
      <c r="B103" s="507"/>
      <c r="C103" s="507"/>
      <c r="D103" s="507"/>
      <c r="E103" s="507"/>
      <c r="F103" s="507"/>
      <c r="G103" s="507"/>
      <c r="H103" s="507"/>
      <c r="I103" s="507"/>
      <c r="J103" s="507"/>
      <c r="K103" s="573"/>
      <c r="L103" s="507"/>
      <c r="M103" s="507"/>
      <c r="N103" s="347"/>
    </row>
    <row r="104" spans="1:25" ht="47.25" hidden="1" x14ac:dyDescent="0.2">
      <c r="B104" s="385" t="s">
        <v>273</v>
      </c>
      <c r="C104" s="386"/>
      <c r="D104" s="579" t="s">
        <v>553</v>
      </c>
      <c r="E104" s="580" t="s">
        <v>661</v>
      </c>
      <c r="F104" s="580" t="s">
        <v>662</v>
      </c>
      <c r="G104" s="580" t="s">
        <v>663</v>
      </c>
      <c r="H104" s="591" t="s">
        <v>664</v>
      </c>
      <c r="I104" s="591" t="s">
        <v>665</v>
      </c>
      <c r="J104" s="507"/>
      <c r="K104" s="507"/>
      <c r="L104" s="609"/>
      <c r="M104" s="507"/>
      <c r="N104" s="507"/>
      <c r="X104" s="161"/>
      <c r="Y104" s="161"/>
    </row>
    <row r="105" spans="1:25" hidden="1" x14ac:dyDescent="0.2">
      <c r="B105" s="592" t="s">
        <v>12</v>
      </c>
      <c r="C105" s="387"/>
      <c r="D105" s="578">
        <v>1.2</v>
      </c>
      <c r="E105" s="388">
        <f>(SUM(D17:E17))*$D$105</f>
        <v>0</v>
      </c>
      <c r="F105" s="388">
        <f t="shared" ref="F105:F112" si="1">(SUM(F17:G17))*D105</f>
        <v>0</v>
      </c>
      <c r="G105" s="388">
        <f t="shared" ref="G105:G112" si="2">(SUM(H17:I17))*D105</f>
        <v>0</v>
      </c>
      <c r="H105" s="388">
        <f t="shared" ref="H105:H112" si="3">(SUM(J17:K17))*D105</f>
        <v>0</v>
      </c>
      <c r="I105" s="388">
        <f t="shared" ref="I105:I112" si="4">(SUM(L17:M17))*D105</f>
        <v>0</v>
      </c>
      <c r="J105" s="507"/>
      <c r="K105" s="507"/>
      <c r="L105" s="611" t="s">
        <v>515</v>
      </c>
      <c r="M105" s="507"/>
      <c r="N105" s="507"/>
      <c r="X105" s="161"/>
      <c r="Y105" s="161"/>
    </row>
    <row r="106" spans="1:25" hidden="1" x14ac:dyDescent="0.2">
      <c r="B106" s="592" t="s">
        <v>253</v>
      </c>
      <c r="C106" s="387"/>
      <c r="D106" s="578">
        <v>1.6</v>
      </c>
      <c r="E106" s="388">
        <f>(SUM(D18:E18))*$D$106</f>
        <v>0</v>
      </c>
      <c r="F106" s="388">
        <f t="shared" si="1"/>
        <v>0</v>
      </c>
      <c r="G106" s="388">
        <f t="shared" si="2"/>
        <v>0</v>
      </c>
      <c r="H106" s="388">
        <f t="shared" si="3"/>
        <v>0</v>
      </c>
      <c r="I106" s="388">
        <f t="shared" si="4"/>
        <v>0</v>
      </c>
      <c r="J106" s="507"/>
      <c r="K106" s="507"/>
      <c r="L106" s="610" t="s">
        <v>516</v>
      </c>
      <c r="M106" s="507"/>
      <c r="N106" s="507"/>
      <c r="X106" s="161"/>
      <c r="Y106" s="161"/>
    </row>
    <row r="107" spans="1:25" hidden="1" x14ac:dyDescent="0.2">
      <c r="B107" s="592" t="s">
        <v>258</v>
      </c>
      <c r="C107" s="387"/>
      <c r="D107" s="578">
        <v>1.2</v>
      </c>
      <c r="E107" s="388">
        <f>(SUM(D19:E19))*$D$107</f>
        <v>0</v>
      </c>
      <c r="F107" s="388">
        <f t="shared" si="1"/>
        <v>0</v>
      </c>
      <c r="G107" s="388">
        <f t="shared" si="2"/>
        <v>0</v>
      </c>
      <c r="H107" s="388">
        <f t="shared" si="3"/>
        <v>0</v>
      </c>
      <c r="I107" s="388">
        <f t="shared" si="4"/>
        <v>0</v>
      </c>
      <c r="J107" s="507"/>
      <c r="K107" s="507"/>
      <c r="L107" s="610"/>
      <c r="M107" s="507"/>
      <c r="N107" s="507"/>
      <c r="X107" s="161"/>
      <c r="Y107" s="161"/>
    </row>
    <row r="108" spans="1:25" hidden="1" x14ac:dyDescent="0.2">
      <c r="B108" s="592" t="s">
        <v>254</v>
      </c>
      <c r="C108" s="387"/>
      <c r="D108" s="578">
        <v>0.8</v>
      </c>
      <c r="E108" s="388">
        <f>(SUM(D20:E20))*$D$108</f>
        <v>0</v>
      </c>
      <c r="F108" s="388">
        <f t="shared" si="1"/>
        <v>0</v>
      </c>
      <c r="G108" s="388">
        <f t="shared" si="2"/>
        <v>0</v>
      </c>
      <c r="H108" s="388">
        <f t="shared" si="3"/>
        <v>0</v>
      </c>
      <c r="I108" s="388">
        <f t="shared" si="4"/>
        <v>0</v>
      </c>
      <c r="J108" s="507"/>
      <c r="K108" s="507"/>
      <c r="L108" s="523"/>
      <c r="M108" s="507"/>
      <c r="N108" s="507"/>
      <c r="X108" s="161"/>
      <c r="Y108" s="161"/>
    </row>
    <row r="109" spans="1:25" hidden="1" x14ac:dyDescent="0.2">
      <c r="B109" s="592" t="s">
        <v>255</v>
      </c>
      <c r="C109" s="387"/>
      <c r="D109" s="389">
        <v>1</v>
      </c>
      <c r="E109" s="388">
        <f>(SUM(D21:E21))*$D$109</f>
        <v>0</v>
      </c>
      <c r="F109" s="388">
        <f t="shared" si="1"/>
        <v>0</v>
      </c>
      <c r="G109" s="388">
        <f t="shared" si="2"/>
        <v>0</v>
      </c>
      <c r="H109" s="388">
        <f t="shared" si="3"/>
        <v>0</v>
      </c>
      <c r="I109" s="388">
        <f t="shared" si="4"/>
        <v>0</v>
      </c>
      <c r="J109" s="507"/>
      <c r="K109" s="507"/>
      <c r="L109" s="523"/>
      <c r="M109" s="507"/>
      <c r="N109" s="507"/>
      <c r="X109" s="161"/>
      <c r="Y109" s="161"/>
    </row>
    <row r="110" spans="1:25" hidden="1" x14ac:dyDescent="0.2">
      <c r="B110" s="592" t="s">
        <v>256</v>
      </c>
      <c r="C110" s="387"/>
      <c r="D110" s="578">
        <v>0.8</v>
      </c>
      <c r="E110" s="388">
        <f>(SUM(D22:E22))*$D$110</f>
        <v>0</v>
      </c>
      <c r="F110" s="388">
        <f t="shared" si="1"/>
        <v>0</v>
      </c>
      <c r="G110" s="388">
        <f t="shared" si="2"/>
        <v>0</v>
      </c>
      <c r="H110" s="388">
        <f t="shared" si="3"/>
        <v>0</v>
      </c>
      <c r="I110" s="388">
        <f t="shared" si="4"/>
        <v>0</v>
      </c>
      <c r="J110" s="507"/>
      <c r="K110" s="507"/>
      <c r="L110" s="523"/>
      <c r="M110" s="507"/>
      <c r="N110" s="507"/>
      <c r="X110" s="161"/>
      <c r="Y110" s="161"/>
    </row>
    <row r="111" spans="1:25" hidden="1" x14ac:dyDescent="0.2">
      <c r="B111" s="592" t="s">
        <v>257</v>
      </c>
      <c r="C111" s="387"/>
      <c r="D111" s="578">
        <v>0.6</v>
      </c>
      <c r="E111" s="388">
        <f>(SUM(D23:E23))*$D$111</f>
        <v>0</v>
      </c>
      <c r="F111" s="388">
        <f t="shared" si="1"/>
        <v>0</v>
      </c>
      <c r="G111" s="388">
        <f t="shared" si="2"/>
        <v>0</v>
      </c>
      <c r="H111" s="388">
        <f t="shared" si="3"/>
        <v>0</v>
      </c>
      <c r="I111" s="388">
        <f t="shared" si="4"/>
        <v>0</v>
      </c>
      <c r="J111" s="507"/>
      <c r="K111" s="507"/>
      <c r="L111" s="523"/>
      <c r="M111" s="507"/>
      <c r="N111" s="507"/>
      <c r="X111" s="161"/>
      <c r="Y111" s="161"/>
    </row>
    <row r="112" spans="1:25" hidden="1" x14ac:dyDescent="0.2">
      <c r="B112" s="592" t="s">
        <v>245</v>
      </c>
      <c r="C112" s="387"/>
      <c r="D112" s="578">
        <v>0.6</v>
      </c>
      <c r="E112" s="388">
        <f>(SUM(D24:E24))*$D$112</f>
        <v>0</v>
      </c>
      <c r="F112" s="388">
        <f t="shared" si="1"/>
        <v>0</v>
      </c>
      <c r="G112" s="388">
        <f t="shared" si="2"/>
        <v>0</v>
      </c>
      <c r="H112" s="388">
        <f t="shared" si="3"/>
        <v>0</v>
      </c>
      <c r="I112" s="388">
        <f t="shared" si="4"/>
        <v>0</v>
      </c>
      <c r="J112" s="507"/>
      <c r="K112" s="507"/>
      <c r="L112" s="523"/>
      <c r="M112" s="507"/>
      <c r="N112" s="507"/>
      <c r="X112" s="161"/>
      <c r="Y112" s="161"/>
    </row>
    <row r="113" spans="2:25" ht="15.75" hidden="1" thickBot="1" x14ac:dyDescent="0.25">
      <c r="B113" s="592" t="s">
        <v>44</v>
      </c>
      <c r="C113" s="387"/>
      <c r="D113" s="578">
        <v>21.2</v>
      </c>
      <c r="E113" s="388">
        <f>SUM(D25:E25)*$D$113</f>
        <v>0</v>
      </c>
      <c r="F113" s="388">
        <f>SUM(F25:G25)*D113</f>
        <v>0</v>
      </c>
      <c r="G113" s="388">
        <f>SUM(H25:I25)*D113</f>
        <v>0</v>
      </c>
      <c r="H113" s="388">
        <f>SUM(J25:K25)*D113</f>
        <v>0</v>
      </c>
      <c r="I113" s="388">
        <f>SUM(L25:M25)*D113</f>
        <v>0</v>
      </c>
      <c r="J113" s="507"/>
      <c r="K113" s="507"/>
      <c r="L113" s="523"/>
      <c r="M113" s="507"/>
      <c r="N113" s="507"/>
      <c r="X113" s="161"/>
      <c r="Y113" s="161"/>
    </row>
    <row r="114" spans="2:25" ht="15.75" hidden="1" thickBot="1" x14ac:dyDescent="0.25">
      <c r="B114" s="507"/>
      <c r="C114" s="507"/>
      <c r="D114" s="390" t="s">
        <v>283</v>
      </c>
      <c r="E114" s="558">
        <f>SUM(E105:E113)</f>
        <v>0</v>
      </c>
      <c r="F114" s="558">
        <f t="shared" ref="F114:I114" si="5">SUM(F105:F113)</f>
        <v>0</v>
      </c>
      <c r="G114" s="558">
        <f t="shared" si="5"/>
        <v>0</v>
      </c>
      <c r="H114" s="558">
        <f t="shared" si="5"/>
        <v>0</v>
      </c>
      <c r="I114" s="558">
        <f t="shared" si="5"/>
        <v>0</v>
      </c>
      <c r="J114" s="507"/>
      <c r="K114" s="507"/>
      <c r="L114" s="523"/>
      <c r="M114" s="507"/>
      <c r="N114" s="507"/>
      <c r="X114" s="161"/>
      <c r="Y114" s="161"/>
    </row>
    <row r="115" spans="2:25" hidden="1" x14ac:dyDescent="0.2">
      <c r="B115" s="507"/>
      <c r="C115" s="507"/>
      <c r="D115" s="507"/>
      <c r="E115" s="507"/>
      <c r="F115" s="507"/>
      <c r="G115" s="507"/>
      <c r="H115" s="507"/>
      <c r="I115" s="507"/>
      <c r="J115" s="507"/>
      <c r="K115" s="573"/>
      <c r="L115" s="507"/>
      <c r="M115" s="507"/>
      <c r="N115" s="523"/>
    </row>
    <row r="116" spans="2:25" hidden="1" x14ac:dyDescent="0.2">
      <c r="B116" s="507"/>
      <c r="C116" s="507"/>
      <c r="D116" s="507"/>
      <c r="E116" s="507"/>
      <c r="F116" s="507"/>
      <c r="G116" s="507"/>
      <c r="H116" s="507"/>
      <c r="I116" s="507"/>
      <c r="J116" s="507"/>
      <c r="K116" s="573"/>
      <c r="L116" s="507"/>
      <c r="M116" s="507"/>
      <c r="N116" s="507"/>
    </row>
    <row r="117" spans="2:25" hidden="1" x14ac:dyDescent="0.2">
      <c r="B117" s="507"/>
      <c r="C117" s="507"/>
      <c r="D117" s="507"/>
      <c r="E117" s="507"/>
      <c r="F117" s="507"/>
      <c r="G117" s="507"/>
      <c r="H117" s="507"/>
      <c r="I117" s="507"/>
      <c r="J117" s="507"/>
      <c r="K117" s="573"/>
      <c r="L117" s="507"/>
      <c r="M117" s="507"/>
      <c r="N117" s="507"/>
    </row>
    <row r="118" spans="2:25" hidden="1" x14ac:dyDescent="0.2">
      <c r="B118" s="507"/>
      <c r="C118" s="507"/>
      <c r="D118" s="507"/>
      <c r="E118" s="507"/>
      <c r="F118" s="507"/>
      <c r="G118" s="1096" t="s">
        <v>418</v>
      </c>
      <c r="H118" s="1096"/>
      <c r="I118" s="1096"/>
      <c r="J118" s="1096"/>
      <c r="K118" s="1096"/>
      <c r="L118" s="1096"/>
      <c r="M118" s="1096"/>
    </row>
    <row r="119" spans="2:25" ht="15.75" hidden="1" thickBot="1" x14ac:dyDescent="0.25">
      <c r="B119" s="507"/>
      <c r="C119" s="507"/>
      <c r="D119" s="507"/>
      <c r="E119" s="507"/>
      <c r="F119" s="507"/>
      <c r="G119" s="1096"/>
      <c r="H119" s="1096"/>
      <c r="I119" s="1096"/>
      <c r="J119" s="1096"/>
      <c r="K119" s="1096"/>
      <c r="L119" s="1096"/>
      <c r="M119" s="1096"/>
    </row>
    <row r="120" spans="2:25" ht="48" hidden="1" x14ac:dyDescent="0.2">
      <c r="B120" s="605" t="s">
        <v>215</v>
      </c>
      <c r="C120" s="606"/>
      <c r="D120" s="606"/>
      <c r="E120" s="607"/>
      <c r="F120" s="507"/>
      <c r="G120" s="586" t="s">
        <v>323</v>
      </c>
      <c r="H120" s="392" t="s">
        <v>419</v>
      </c>
      <c r="I120" s="288" t="s">
        <v>175</v>
      </c>
      <c r="J120" s="392" t="s">
        <v>420</v>
      </c>
      <c r="K120" s="288" t="s">
        <v>175</v>
      </c>
      <c r="L120" s="392" t="s">
        <v>421</v>
      </c>
      <c r="M120" s="288" t="s">
        <v>175</v>
      </c>
    </row>
    <row r="121" spans="2:25" hidden="1" x14ac:dyDescent="0.2">
      <c r="B121" s="599" t="s">
        <v>207</v>
      </c>
      <c r="C121" s="586" t="s">
        <v>217</v>
      </c>
      <c r="D121" s="898" t="s">
        <v>54</v>
      </c>
      <c r="E121" s="902"/>
      <c r="F121" s="507"/>
      <c r="G121" s="393">
        <f>(1000/I121)-10</f>
        <v>16.315789473684209</v>
      </c>
      <c r="H121" s="394">
        <f>('SITE DATA'!$F$26-(0.2*G121))^2/('SITE DATA'!$F$26+(0.8*G121))</f>
        <v>0.8157894736842104</v>
      </c>
      <c r="I121" s="395">
        <v>38</v>
      </c>
      <c r="J121" s="394">
        <f>('SITE DATA'!$F$27-(0.2*G121))^2/('SITE DATA'!$F$27+(0.8*G121))</f>
        <v>0.8157894736842104</v>
      </c>
      <c r="K121" s="395">
        <v>38</v>
      </c>
      <c r="L121" s="394">
        <f>('SITE DATA'!$F$28-(0.2*G121))^2/('SITE DATA'!$F$28+(0.8*G121))</f>
        <v>0.8157894736842104</v>
      </c>
      <c r="M121" s="395">
        <v>38</v>
      </c>
    </row>
    <row r="122" spans="2:25" hidden="1" x14ac:dyDescent="0.2">
      <c r="B122" s="600" t="s">
        <v>521</v>
      </c>
      <c r="C122" s="598">
        <v>0.35</v>
      </c>
      <c r="D122" s="1094">
        <v>0.85</v>
      </c>
      <c r="E122" s="1095"/>
      <c r="F122" s="507"/>
      <c r="G122" s="393">
        <f>(1000/I122)-10</f>
        <v>15.641025641025642</v>
      </c>
      <c r="H122" s="394">
        <f>('SITE DATA'!$F$26-(0.2*G122))^2/('SITE DATA'!$F$26+(0.8*G122))</f>
        <v>0.78205128205128227</v>
      </c>
      <c r="I122" s="395">
        <v>39</v>
      </c>
      <c r="J122" s="394">
        <f>('SITE DATA'!$F$27-(0.2*G122))^2/('SITE DATA'!$F$27+(0.8*G122))</f>
        <v>0.78205128205128227</v>
      </c>
      <c r="K122" s="395">
        <v>39</v>
      </c>
      <c r="L122" s="394">
        <f>('SITE DATA'!$F$28-(0.2*G122))^2/('SITE DATA'!$F$28+(0.8*G122))</f>
        <v>0.78205128205128227</v>
      </c>
      <c r="M122" s="395">
        <v>39</v>
      </c>
    </row>
    <row r="123" spans="2:25" hidden="1" x14ac:dyDescent="0.2">
      <c r="B123" s="600" t="s">
        <v>520</v>
      </c>
      <c r="C123" s="598">
        <v>0.4</v>
      </c>
      <c r="D123" s="1094">
        <v>0.85</v>
      </c>
      <c r="E123" s="1095"/>
      <c r="F123" s="507"/>
      <c r="G123" s="393">
        <f>(1000/I123)-10</f>
        <v>15</v>
      </c>
      <c r="H123" s="394">
        <f>('SITE DATA'!$F$26-(0.2*G123))^2/('SITE DATA'!$F$26+(0.8*G123))</f>
        <v>0.75</v>
      </c>
      <c r="I123" s="395">
        <v>40</v>
      </c>
      <c r="J123" s="394">
        <f>('SITE DATA'!$F$27-(0.2*G123))^2/('SITE DATA'!$F$27+(0.8*G123))</f>
        <v>0.75</v>
      </c>
      <c r="K123" s="395">
        <v>40</v>
      </c>
      <c r="L123" s="394">
        <f>('SITE DATA'!$F$28-(0.2*G123))^2/('SITE DATA'!$F$28+(0.8*G123))</f>
        <v>0.75</v>
      </c>
      <c r="M123" s="395">
        <v>40</v>
      </c>
    </row>
    <row r="124" spans="2:25" hidden="1" x14ac:dyDescent="0.2">
      <c r="B124" s="601" t="s">
        <v>208</v>
      </c>
      <c r="C124" s="598">
        <v>0.4</v>
      </c>
      <c r="D124" s="1094">
        <v>0.85</v>
      </c>
      <c r="E124" s="1095"/>
      <c r="F124" s="507"/>
      <c r="G124" s="393">
        <f>(1000/I124)-10</f>
        <v>14.390243902439025</v>
      </c>
      <c r="H124" s="394">
        <f>('SITE DATA'!$F$26-(0.2*G124))^2/('SITE DATA'!$F$26+(0.8*G124))</f>
        <v>0.71951219512195141</v>
      </c>
      <c r="I124" s="395">
        <v>41</v>
      </c>
      <c r="J124" s="394">
        <f>('SITE DATA'!$F$27-(0.2*G124))^2/('SITE DATA'!$F$27+(0.8*G124))</f>
        <v>0.71951219512195141</v>
      </c>
      <c r="K124" s="395">
        <v>41</v>
      </c>
      <c r="L124" s="394">
        <f>('SITE DATA'!$F$28-(0.2*G124))^2/('SITE DATA'!$F$28+(0.8*G124))</f>
        <v>0.71951219512195141</v>
      </c>
      <c r="M124" s="395">
        <v>41</v>
      </c>
    </row>
    <row r="125" spans="2:25" hidden="1" x14ac:dyDescent="0.2">
      <c r="B125" s="601" t="s">
        <v>51</v>
      </c>
      <c r="C125" s="598">
        <v>0.25</v>
      </c>
      <c r="D125" s="1094">
        <v>0.85</v>
      </c>
      <c r="E125" s="1095"/>
      <c r="F125" s="507"/>
      <c r="G125" s="393">
        <f>(1000/I125)-10</f>
        <v>13.80952380952381</v>
      </c>
      <c r="H125" s="394">
        <f>('SITE DATA'!$F$26-(0.2*G125))^2/('SITE DATA'!$F$26+(0.8*G125))</f>
        <v>0.69047619047619058</v>
      </c>
      <c r="I125" s="395">
        <v>42</v>
      </c>
      <c r="J125" s="394">
        <f>('SITE DATA'!$F$27-(0.2*G125))^2/('SITE DATA'!$F$27+(0.8*G125))</f>
        <v>0.69047619047619058</v>
      </c>
      <c r="K125" s="395">
        <v>42</v>
      </c>
      <c r="L125" s="394">
        <f>('SITE DATA'!$F$28-(0.2*G125))^2/('SITE DATA'!$F$28+(0.8*G125))</f>
        <v>0.69047619047619058</v>
      </c>
      <c r="M125" s="395">
        <v>42</v>
      </c>
    </row>
    <row r="126" spans="2:25" hidden="1" x14ac:dyDescent="0.2">
      <c r="B126" s="601" t="s">
        <v>209</v>
      </c>
      <c r="C126" s="598">
        <v>0.35</v>
      </c>
      <c r="D126" s="1094">
        <v>0.85</v>
      </c>
      <c r="E126" s="1095"/>
      <c r="F126" s="507"/>
      <c r="G126" s="393">
        <f t="shared" ref="G126:G181" si="6">(1000/I126)-10</f>
        <v>13.255813953488371</v>
      </c>
      <c r="H126" s="394">
        <f>('SITE DATA'!$F$26-(0.2*G126))^2/('SITE DATA'!$F$26+(0.8*G126))</f>
        <v>0.66279069767441856</v>
      </c>
      <c r="I126" s="395">
        <v>43</v>
      </c>
      <c r="J126" s="394">
        <f>('SITE DATA'!$F$27-(0.2*G126))^2/('SITE DATA'!$F$27+(0.8*G126))</f>
        <v>0.66279069767441856</v>
      </c>
      <c r="K126" s="395">
        <v>43</v>
      </c>
      <c r="L126" s="394">
        <f>('SITE DATA'!$F$28-(0.2*G126))^2/('SITE DATA'!$F$28+(0.8*G126))</f>
        <v>0.66279069767441856</v>
      </c>
      <c r="M126" s="395">
        <v>43</v>
      </c>
    </row>
    <row r="127" spans="2:25" hidden="1" x14ac:dyDescent="0.2">
      <c r="B127" s="601" t="s">
        <v>210</v>
      </c>
      <c r="C127" s="598">
        <v>0.2</v>
      </c>
      <c r="D127" s="1094">
        <v>0.35</v>
      </c>
      <c r="E127" s="1095"/>
      <c r="F127" s="507"/>
      <c r="G127" s="393">
        <f t="shared" si="6"/>
        <v>12.727272727272727</v>
      </c>
      <c r="H127" s="394">
        <f>('SITE DATA'!$F$26-(0.2*G127))^2/('SITE DATA'!$F$26+(0.8*G127))</f>
        <v>0.63636363636363635</v>
      </c>
      <c r="I127" s="395">
        <v>44</v>
      </c>
      <c r="J127" s="394">
        <f>('SITE DATA'!$F$27-(0.2*G127))^2/('SITE DATA'!$F$27+(0.8*G127))</f>
        <v>0.63636363636363635</v>
      </c>
      <c r="K127" s="395">
        <v>44</v>
      </c>
      <c r="L127" s="394">
        <f>('SITE DATA'!$F$28-(0.2*G127))^2/('SITE DATA'!$F$28+(0.8*G127))</f>
        <v>0.63636363636363635</v>
      </c>
      <c r="M127" s="395">
        <v>44</v>
      </c>
    </row>
    <row r="128" spans="2:25" hidden="1" x14ac:dyDescent="0.2">
      <c r="B128" s="601" t="s">
        <v>52</v>
      </c>
      <c r="C128" s="598">
        <v>0.2</v>
      </c>
      <c r="D128" s="1094">
        <v>0.35</v>
      </c>
      <c r="E128" s="1095"/>
      <c r="F128" s="507"/>
      <c r="G128" s="393">
        <f t="shared" si="6"/>
        <v>12.222222222222221</v>
      </c>
      <c r="H128" s="394">
        <f>('SITE DATA'!$F$26-(0.2*G128))^2/('SITE DATA'!$F$26+(0.8*G128))</f>
        <v>0.61111111111111116</v>
      </c>
      <c r="I128" s="395">
        <v>45</v>
      </c>
      <c r="J128" s="394">
        <f>('SITE DATA'!$F$27-(0.2*G128))^2/('SITE DATA'!$F$27+(0.8*G128))</f>
        <v>0.61111111111111116</v>
      </c>
      <c r="K128" s="395">
        <v>45</v>
      </c>
      <c r="L128" s="394">
        <f>('SITE DATA'!$F$28-(0.2*G128))^2/('SITE DATA'!$F$28+(0.8*G128))</f>
        <v>0.61111111111111116</v>
      </c>
      <c r="M128" s="395">
        <v>45</v>
      </c>
    </row>
    <row r="129" spans="2:13" hidden="1" x14ac:dyDescent="0.2">
      <c r="B129" s="601" t="s">
        <v>211</v>
      </c>
      <c r="C129" s="598">
        <v>0.3</v>
      </c>
      <c r="D129" s="1094">
        <v>0.6</v>
      </c>
      <c r="E129" s="1095"/>
      <c r="F129" s="507"/>
      <c r="G129" s="393">
        <f t="shared" si="6"/>
        <v>11.739130434782609</v>
      </c>
      <c r="H129" s="394">
        <f>('SITE DATA'!$F$26-(0.2*G129))^2/('SITE DATA'!$F$26+(0.8*G129))</f>
        <v>0.58695652173913049</v>
      </c>
      <c r="I129" s="395">
        <v>46</v>
      </c>
      <c r="J129" s="394">
        <f>('SITE DATA'!$F$27-(0.2*G129))^2/('SITE DATA'!$F$27+(0.8*G129))</f>
        <v>0.58695652173913049</v>
      </c>
      <c r="K129" s="395">
        <v>46</v>
      </c>
      <c r="L129" s="394">
        <f>('SITE DATA'!$F$28-(0.2*G129))^2/('SITE DATA'!$F$28+(0.8*G129))</f>
        <v>0.58695652173913049</v>
      </c>
      <c r="M129" s="395">
        <v>46</v>
      </c>
    </row>
    <row r="130" spans="2:13" hidden="1" x14ac:dyDescent="0.2">
      <c r="B130" s="601" t="s">
        <v>212</v>
      </c>
      <c r="C130" s="598">
        <v>0.3</v>
      </c>
      <c r="D130" s="1094">
        <v>0.85</v>
      </c>
      <c r="E130" s="1095"/>
      <c r="F130" s="507"/>
      <c r="G130" s="393">
        <f t="shared" si="6"/>
        <v>11.276595744680851</v>
      </c>
      <c r="H130" s="394">
        <f>('SITE DATA'!$F$26-(0.2*G130))^2/('SITE DATA'!$F$26+(0.8*G130))</f>
        <v>0.56382978723404253</v>
      </c>
      <c r="I130" s="395">
        <v>47</v>
      </c>
      <c r="J130" s="394">
        <f>('SITE DATA'!$F$27-(0.2*G130))^2/('SITE DATA'!$F$27+(0.8*G130))</f>
        <v>0.56382978723404253</v>
      </c>
      <c r="K130" s="395">
        <v>47</v>
      </c>
      <c r="L130" s="394">
        <f>('SITE DATA'!$F$28-(0.2*G130))^2/('SITE DATA'!$F$28+(0.8*G130))</f>
        <v>0.56382978723404253</v>
      </c>
      <c r="M130" s="395">
        <v>47</v>
      </c>
    </row>
    <row r="131" spans="2:13" hidden="1" x14ac:dyDescent="0.2">
      <c r="B131" s="601" t="s">
        <v>213</v>
      </c>
      <c r="C131" s="598">
        <v>0.1</v>
      </c>
      <c r="D131" s="1094">
        <v>0.5</v>
      </c>
      <c r="E131" s="1095"/>
      <c r="F131" s="507"/>
      <c r="G131" s="393">
        <f t="shared" si="6"/>
        <v>10.833333333333332</v>
      </c>
      <c r="H131" s="394">
        <f>('SITE DATA'!$F$26-(0.2*G131))^2/('SITE DATA'!$F$26+(0.8*G131))</f>
        <v>0.54166666666666663</v>
      </c>
      <c r="I131" s="395">
        <f>48</f>
        <v>48</v>
      </c>
      <c r="J131" s="394">
        <f>('SITE DATA'!$F$27-(0.2*G131))^2/('SITE DATA'!$F$27+(0.8*G131))</f>
        <v>0.54166666666666663</v>
      </c>
      <c r="K131" s="395">
        <f>48</f>
        <v>48</v>
      </c>
      <c r="L131" s="394">
        <f>('SITE DATA'!$F$28-(0.2*G131))^2/('SITE DATA'!$F$28+(0.8*G131))</f>
        <v>0.54166666666666663</v>
      </c>
      <c r="M131" s="395">
        <f>48</f>
        <v>48</v>
      </c>
    </row>
    <row r="132" spans="2:13" hidden="1" x14ac:dyDescent="0.2">
      <c r="B132" s="601" t="s">
        <v>53</v>
      </c>
      <c r="C132" s="598">
        <v>0</v>
      </c>
      <c r="D132" s="1094">
        <v>0</v>
      </c>
      <c r="E132" s="1095"/>
      <c r="F132" s="507"/>
      <c r="G132" s="393">
        <f t="shared" si="6"/>
        <v>10.408163265306122</v>
      </c>
      <c r="H132" s="394">
        <f>('SITE DATA'!$F$26-(0.2*G132))^2/('SITE DATA'!$F$26+(0.8*G132))</f>
        <v>0.52040816326530615</v>
      </c>
      <c r="I132" s="395">
        <f t="shared" ref="I132:I181" si="7">I131+1</f>
        <v>49</v>
      </c>
      <c r="J132" s="394">
        <f>('SITE DATA'!$F$27-(0.2*G132))^2/('SITE DATA'!$F$27+(0.8*G132))</f>
        <v>0.52040816326530615</v>
      </c>
      <c r="K132" s="395">
        <f t="shared" ref="K132:K181" si="8">K131+1</f>
        <v>49</v>
      </c>
      <c r="L132" s="394">
        <f>('SITE DATA'!$F$28-(0.2*G132))^2/('SITE DATA'!$F$28+(0.8*G132))</f>
        <v>0.52040816326530615</v>
      </c>
      <c r="M132" s="395">
        <f t="shared" ref="M132:M181" si="9">M131+1</f>
        <v>49</v>
      </c>
    </row>
    <row r="133" spans="2:13" hidden="1" x14ac:dyDescent="0.2">
      <c r="B133" s="601" t="s">
        <v>579</v>
      </c>
      <c r="C133" s="598">
        <v>0</v>
      </c>
      <c r="D133" s="1094">
        <v>0</v>
      </c>
      <c r="E133" s="1095"/>
      <c r="F133" s="507"/>
      <c r="G133" s="393">
        <f>(1000/I133)-10</f>
        <v>10</v>
      </c>
      <c r="H133" s="394">
        <f>('SITE DATA'!$F$26-(0.2*G133))^2/('SITE DATA'!$F$26+(0.8*G133))</f>
        <v>0.5</v>
      </c>
      <c r="I133" s="395">
        <f t="shared" si="7"/>
        <v>50</v>
      </c>
      <c r="J133" s="394">
        <f>('SITE DATA'!$F$27-(0.2*G133))^2/('SITE DATA'!$F$27+(0.8*G133))</f>
        <v>0.5</v>
      </c>
      <c r="K133" s="395">
        <f t="shared" si="8"/>
        <v>50</v>
      </c>
      <c r="L133" s="394">
        <f>('SITE DATA'!$F$28-(0.2*G133))^2/('SITE DATA'!$F$28+(0.8*G133))</f>
        <v>0.5</v>
      </c>
      <c r="M133" s="395">
        <f t="shared" si="9"/>
        <v>50</v>
      </c>
    </row>
    <row r="134" spans="2:13" ht="15.75" hidden="1" thickBot="1" x14ac:dyDescent="0.25">
      <c r="B134" s="602" t="s">
        <v>564</v>
      </c>
      <c r="C134" s="604">
        <f>IF(C13="Yes",G13,F134)</f>
        <v>1</v>
      </c>
      <c r="D134" s="1036" t="s">
        <v>563</v>
      </c>
      <c r="E134" s="1037"/>
      <c r="F134" s="616">
        <v>1</v>
      </c>
      <c r="G134" s="393">
        <f t="shared" si="6"/>
        <v>9.6078431372549034</v>
      </c>
      <c r="H134" s="394">
        <f>('SITE DATA'!$F$26-(0.2*G134))^2/('SITE DATA'!$F$26+(0.8*G134))</f>
        <v>0.48039215686274517</v>
      </c>
      <c r="I134" s="395">
        <f t="shared" si="7"/>
        <v>51</v>
      </c>
      <c r="J134" s="394">
        <f>('SITE DATA'!$F$27-(0.2*G134))^2/('SITE DATA'!$F$27+(0.8*G134))</f>
        <v>0.48039215686274517</v>
      </c>
      <c r="K134" s="395">
        <f t="shared" si="8"/>
        <v>51</v>
      </c>
      <c r="L134" s="394">
        <f>('SITE DATA'!$F$28-(0.2*G134))^2/('SITE DATA'!$F$28+(0.8*G134))</f>
        <v>0.48039215686274517</v>
      </c>
      <c r="M134" s="395">
        <f t="shared" si="9"/>
        <v>51</v>
      </c>
    </row>
    <row r="135" spans="2:13" hidden="1" x14ac:dyDescent="0.2">
      <c r="B135" s="514"/>
      <c r="C135" s="514"/>
      <c r="D135" s="507"/>
      <c r="E135" s="507"/>
      <c r="F135" s="507"/>
      <c r="G135" s="393">
        <f t="shared" si="6"/>
        <v>9.2307692307692299</v>
      </c>
      <c r="H135" s="394">
        <f>('SITE DATA'!$F$26-(0.2*G135))^2/('SITE DATA'!$F$26+(0.8*G135))</f>
        <v>0.46153846153846151</v>
      </c>
      <c r="I135" s="395">
        <f t="shared" si="7"/>
        <v>52</v>
      </c>
      <c r="J135" s="394">
        <f>('SITE DATA'!$F$27-(0.2*G135))^2/('SITE DATA'!$F$27+(0.8*G135))</f>
        <v>0.46153846153846151</v>
      </c>
      <c r="K135" s="395">
        <f t="shared" si="8"/>
        <v>52</v>
      </c>
      <c r="L135" s="394">
        <f>('SITE DATA'!$F$28-(0.2*G135))^2/('SITE DATA'!$F$28+(0.8*G135))</f>
        <v>0.46153846153846151</v>
      </c>
      <c r="M135" s="395">
        <f t="shared" si="9"/>
        <v>52</v>
      </c>
    </row>
    <row r="136" spans="2:13" hidden="1" x14ac:dyDescent="0.2">
      <c r="B136" s="514"/>
      <c r="C136" s="514"/>
      <c r="D136" s="507"/>
      <c r="E136" s="396"/>
      <c r="F136" s="507"/>
      <c r="G136" s="393">
        <f t="shared" si="6"/>
        <v>8.8679245283018879</v>
      </c>
      <c r="H136" s="394">
        <f>('SITE DATA'!$F$26-(0.2*G136))^2/('SITE DATA'!$F$26+(0.8*G136))</f>
        <v>0.44339622641509441</v>
      </c>
      <c r="I136" s="395">
        <f t="shared" si="7"/>
        <v>53</v>
      </c>
      <c r="J136" s="394">
        <f>('SITE DATA'!$F$27-(0.2*G136))^2/('SITE DATA'!$F$27+(0.8*G136))</f>
        <v>0.44339622641509441</v>
      </c>
      <c r="K136" s="395">
        <f t="shared" si="8"/>
        <v>53</v>
      </c>
      <c r="L136" s="394">
        <f>('SITE DATA'!$F$28-(0.2*G136))^2/('SITE DATA'!$F$28+(0.8*G136))</f>
        <v>0.44339622641509441</v>
      </c>
      <c r="M136" s="395">
        <f t="shared" si="9"/>
        <v>53</v>
      </c>
    </row>
    <row r="137" spans="2:13" hidden="1" x14ac:dyDescent="0.2">
      <c r="B137" s="507"/>
      <c r="C137" s="507"/>
      <c r="D137" s="507"/>
      <c r="E137" s="507"/>
      <c r="F137" s="507"/>
      <c r="G137" s="393">
        <f t="shared" si="6"/>
        <v>8.518518518518519</v>
      </c>
      <c r="H137" s="394">
        <f>('SITE DATA'!$F$26-(0.2*G137))^2/('SITE DATA'!$F$26+(0.8*G137))</f>
        <v>0.42592592592592599</v>
      </c>
      <c r="I137" s="395">
        <f t="shared" si="7"/>
        <v>54</v>
      </c>
      <c r="J137" s="394">
        <f>('SITE DATA'!$F$27-(0.2*G137))^2/('SITE DATA'!$F$27+(0.8*G137))</f>
        <v>0.42592592592592599</v>
      </c>
      <c r="K137" s="395">
        <f t="shared" si="8"/>
        <v>54</v>
      </c>
      <c r="L137" s="394">
        <f>('SITE DATA'!$F$28-(0.2*G137))^2/('SITE DATA'!$F$28+(0.8*G137))</f>
        <v>0.42592592592592599</v>
      </c>
      <c r="M137" s="395">
        <f t="shared" si="9"/>
        <v>54</v>
      </c>
    </row>
    <row r="138" spans="2:13" hidden="1" x14ac:dyDescent="0.2">
      <c r="B138" s="507"/>
      <c r="C138" s="507"/>
      <c r="D138" s="507"/>
      <c r="E138" s="507"/>
      <c r="F138" s="396"/>
      <c r="G138" s="393">
        <f t="shared" si="6"/>
        <v>8.1818181818181834</v>
      </c>
      <c r="H138" s="394">
        <f>('SITE DATA'!$F$26-(0.2*G138))^2/('SITE DATA'!$F$26+(0.8*G138))</f>
        <v>0.40909090909090912</v>
      </c>
      <c r="I138" s="395">
        <f t="shared" si="7"/>
        <v>55</v>
      </c>
      <c r="J138" s="394">
        <f>('SITE DATA'!$F$27-(0.2*G138))^2/('SITE DATA'!$F$27+(0.8*G138))</f>
        <v>0.40909090909090912</v>
      </c>
      <c r="K138" s="395">
        <f t="shared" si="8"/>
        <v>55</v>
      </c>
      <c r="L138" s="394">
        <f>('SITE DATA'!$F$28-(0.2*G138))^2/('SITE DATA'!$F$28+(0.8*G138))</f>
        <v>0.40909090909090912</v>
      </c>
      <c r="M138" s="395">
        <f t="shared" si="9"/>
        <v>55</v>
      </c>
    </row>
    <row r="139" spans="2:13" hidden="1" x14ac:dyDescent="0.2">
      <c r="B139" s="507"/>
      <c r="C139" s="507"/>
      <c r="D139" s="507"/>
      <c r="E139" s="507"/>
      <c r="F139" s="507"/>
      <c r="G139" s="393">
        <f t="shared" si="6"/>
        <v>7.8571428571428577</v>
      </c>
      <c r="H139" s="394">
        <f>('SITE DATA'!$F$26-(0.2*G139))^2/('SITE DATA'!$F$26+(0.8*G139))</f>
        <v>0.3928571428571429</v>
      </c>
      <c r="I139" s="395">
        <f t="shared" si="7"/>
        <v>56</v>
      </c>
      <c r="J139" s="394">
        <f>('SITE DATA'!$F$27-(0.2*G139))^2/('SITE DATA'!$F$27+(0.8*G139))</f>
        <v>0.3928571428571429</v>
      </c>
      <c r="K139" s="395">
        <f t="shared" si="8"/>
        <v>56</v>
      </c>
      <c r="L139" s="394">
        <f>('SITE DATA'!$F$28-(0.2*G139))^2/('SITE DATA'!$F$28+(0.8*G139))</f>
        <v>0.3928571428571429</v>
      </c>
      <c r="M139" s="395">
        <f t="shared" si="9"/>
        <v>56</v>
      </c>
    </row>
    <row r="140" spans="2:13" hidden="1" x14ac:dyDescent="0.2">
      <c r="B140" s="507"/>
      <c r="C140" s="507"/>
      <c r="D140" s="507"/>
      <c r="E140" s="507"/>
      <c r="F140" s="507"/>
      <c r="G140" s="393">
        <f t="shared" si="6"/>
        <v>7.5438596491228083</v>
      </c>
      <c r="H140" s="394">
        <f>('SITE DATA'!$F$26-(0.2*G140))^2/('SITE DATA'!$F$26+(0.8*G140))</f>
        <v>0.37719298245614041</v>
      </c>
      <c r="I140" s="395">
        <f t="shared" si="7"/>
        <v>57</v>
      </c>
      <c r="J140" s="394">
        <f>('SITE DATA'!$F$27-(0.2*G140))^2/('SITE DATA'!$F$27+(0.8*G140))</f>
        <v>0.37719298245614041</v>
      </c>
      <c r="K140" s="395">
        <f t="shared" si="8"/>
        <v>57</v>
      </c>
      <c r="L140" s="394">
        <f>('SITE DATA'!$F$28-(0.2*G140))^2/('SITE DATA'!$F$28+(0.8*G140))</f>
        <v>0.37719298245614041</v>
      </c>
      <c r="M140" s="395">
        <f t="shared" si="9"/>
        <v>57</v>
      </c>
    </row>
    <row r="141" spans="2:13" hidden="1" x14ac:dyDescent="0.2">
      <c r="B141" s="507"/>
      <c r="C141" s="507"/>
      <c r="D141" s="507"/>
      <c r="E141" s="507"/>
      <c r="F141" s="507"/>
      <c r="G141" s="393">
        <f t="shared" si="6"/>
        <v>7.2413793103448292</v>
      </c>
      <c r="H141" s="394">
        <f>('SITE DATA'!$F$26-(0.2*G141))^2/('SITE DATA'!$F$26+(0.8*G141))</f>
        <v>0.36206896551724144</v>
      </c>
      <c r="I141" s="395">
        <f t="shared" si="7"/>
        <v>58</v>
      </c>
      <c r="J141" s="394">
        <f>('SITE DATA'!$F$27-(0.2*G141))^2/('SITE DATA'!$F$27+(0.8*G141))</f>
        <v>0.36206896551724144</v>
      </c>
      <c r="K141" s="395">
        <f t="shared" si="8"/>
        <v>58</v>
      </c>
      <c r="L141" s="394">
        <f>('SITE DATA'!$F$28-(0.2*G141))^2/('SITE DATA'!$F$28+(0.8*G141))</f>
        <v>0.36206896551724144</v>
      </c>
      <c r="M141" s="395">
        <f t="shared" si="9"/>
        <v>58</v>
      </c>
    </row>
    <row r="142" spans="2:13" ht="15.75" hidden="1" thickBot="1" x14ac:dyDescent="0.25">
      <c r="B142" s="507"/>
      <c r="C142" s="507"/>
      <c r="D142" s="507"/>
      <c r="E142" s="507"/>
      <c r="F142" s="507"/>
      <c r="G142" s="393">
        <f t="shared" si="6"/>
        <v>6.9491525423728824</v>
      </c>
      <c r="H142" s="394">
        <f>('SITE DATA'!$F$26-(0.2*G142))^2/('SITE DATA'!$F$26+(0.8*G142))</f>
        <v>0.34745762711864414</v>
      </c>
      <c r="I142" s="395">
        <f t="shared" si="7"/>
        <v>59</v>
      </c>
      <c r="J142" s="394">
        <f>('SITE DATA'!$F$27-(0.2*G142))^2/('SITE DATA'!$F$27+(0.8*G142))</f>
        <v>0.34745762711864414</v>
      </c>
      <c r="K142" s="395">
        <f t="shared" si="8"/>
        <v>59</v>
      </c>
      <c r="L142" s="394">
        <f>('SITE DATA'!$F$28-(0.2*G142))^2/('SITE DATA'!$F$28+(0.8*G142))</f>
        <v>0.34745762711864414</v>
      </c>
      <c r="M142" s="395">
        <f t="shared" si="9"/>
        <v>59</v>
      </c>
    </row>
    <row r="143" spans="2:13" ht="16.5" hidden="1" thickBot="1" x14ac:dyDescent="0.3">
      <c r="B143" s="612" t="s">
        <v>532</v>
      </c>
      <c r="C143" s="543"/>
      <c r="D143" s="544"/>
      <c r="E143" s="507"/>
      <c r="F143" s="507"/>
      <c r="G143" s="393">
        <f t="shared" si="6"/>
        <v>6.6666666666666679</v>
      </c>
      <c r="H143" s="394">
        <f>('SITE DATA'!$F$26-(0.2*G143))^2/('SITE DATA'!$F$26+(0.8*G143))</f>
        <v>0.33333333333333343</v>
      </c>
      <c r="I143" s="395">
        <f t="shared" si="7"/>
        <v>60</v>
      </c>
      <c r="J143" s="394">
        <f>('SITE DATA'!$F$27-(0.2*G143))^2/('SITE DATA'!$F$27+(0.8*G143))</f>
        <v>0.33333333333333343</v>
      </c>
      <c r="K143" s="395">
        <f t="shared" si="8"/>
        <v>60</v>
      </c>
      <c r="L143" s="394">
        <f>('SITE DATA'!$F$28-(0.2*G143))^2/('SITE DATA'!$F$28+(0.8*G143))</f>
        <v>0.33333333333333343</v>
      </c>
      <c r="M143" s="395">
        <f t="shared" si="9"/>
        <v>60</v>
      </c>
    </row>
    <row r="144" spans="2:13" hidden="1" x14ac:dyDescent="0.2">
      <c r="B144" s="530"/>
      <c r="C144" s="512"/>
      <c r="D144" s="522"/>
      <c r="E144" s="507"/>
      <c r="F144" s="507"/>
      <c r="G144" s="393">
        <f t="shared" si="6"/>
        <v>6.3934426229508183</v>
      </c>
      <c r="H144" s="394">
        <f>('SITE DATA'!$F$26-(0.2*G144))^2/('SITE DATA'!$F$26+(0.8*G144))</f>
        <v>0.31967213114754095</v>
      </c>
      <c r="I144" s="395">
        <f t="shared" si="7"/>
        <v>61</v>
      </c>
      <c r="J144" s="394">
        <f>('SITE DATA'!$F$27-(0.2*G144))^2/('SITE DATA'!$F$27+(0.8*G144))</f>
        <v>0.31967213114754095</v>
      </c>
      <c r="K144" s="395">
        <f t="shared" si="8"/>
        <v>61</v>
      </c>
      <c r="L144" s="394">
        <f>('SITE DATA'!$F$28-(0.2*G144))^2/('SITE DATA'!$F$28+(0.8*G144))</f>
        <v>0.31967213114754095</v>
      </c>
      <c r="M144" s="395">
        <f t="shared" si="9"/>
        <v>61</v>
      </c>
    </row>
    <row r="145" spans="2:13" ht="19.5" hidden="1" x14ac:dyDescent="0.35">
      <c r="B145" s="509" t="s">
        <v>534</v>
      </c>
      <c r="C145" s="506"/>
      <c r="D145" s="513"/>
      <c r="E145" s="507"/>
      <c r="F145" s="507"/>
      <c r="G145" s="393">
        <f t="shared" si="6"/>
        <v>6.129032258064516</v>
      </c>
      <c r="H145" s="394">
        <f>('SITE DATA'!$F$26-(0.2*G145))^2/('SITE DATA'!$F$26+(0.8*G145))</f>
        <v>0.30645161290322581</v>
      </c>
      <c r="I145" s="395">
        <f t="shared" si="7"/>
        <v>62</v>
      </c>
      <c r="J145" s="394">
        <f>('SITE DATA'!$F$27-(0.2*G145))^2/('SITE DATA'!$F$27+(0.8*G145))</f>
        <v>0.30645161290322581</v>
      </c>
      <c r="K145" s="395">
        <f t="shared" si="8"/>
        <v>62</v>
      </c>
      <c r="L145" s="394">
        <f>('SITE DATA'!$F$28-(0.2*G145))^2/('SITE DATA'!$F$28+(0.8*G145))</f>
        <v>0.30645161290322581</v>
      </c>
      <c r="M145" s="395">
        <f t="shared" si="9"/>
        <v>62</v>
      </c>
    </row>
    <row r="146" spans="2:13" hidden="1" x14ac:dyDescent="0.2">
      <c r="B146" s="509" t="s">
        <v>535</v>
      </c>
      <c r="C146" s="506"/>
      <c r="D146" s="513"/>
      <c r="E146" s="507"/>
      <c r="F146" s="507"/>
      <c r="G146" s="393">
        <f t="shared" si="6"/>
        <v>5.8730158730158735</v>
      </c>
      <c r="H146" s="394">
        <f>('SITE DATA'!$F$26-(0.2*G146))^2/('SITE DATA'!$F$26+(0.8*G146))</f>
        <v>0.29365079365079366</v>
      </c>
      <c r="I146" s="395">
        <f t="shared" si="7"/>
        <v>63</v>
      </c>
      <c r="J146" s="394">
        <f>('SITE DATA'!$F$27-(0.2*G146))^2/('SITE DATA'!$F$27+(0.8*G146))</f>
        <v>0.29365079365079366</v>
      </c>
      <c r="K146" s="395">
        <f t="shared" si="8"/>
        <v>63</v>
      </c>
      <c r="L146" s="394">
        <f>('SITE DATA'!$F$28-(0.2*G146))^2/('SITE DATA'!$F$28+(0.8*G146))</f>
        <v>0.29365079365079366</v>
      </c>
      <c r="M146" s="395">
        <f t="shared" si="9"/>
        <v>63</v>
      </c>
    </row>
    <row r="147" spans="2:13" hidden="1" x14ac:dyDescent="0.2">
      <c r="B147" s="509" t="s">
        <v>539</v>
      </c>
      <c r="C147" s="506"/>
      <c r="D147" s="513"/>
      <c r="E147" s="507"/>
      <c r="F147" s="507"/>
      <c r="G147" s="393">
        <f t="shared" si="6"/>
        <v>5.625</v>
      </c>
      <c r="H147" s="394">
        <f>('SITE DATA'!$F$26-(0.2*G147))^2/('SITE DATA'!$F$26+(0.8*G147))</f>
        <v>0.28125</v>
      </c>
      <c r="I147" s="395">
        <f t="shared" si="7"/>
        <v>64</v>
      </c>
      <c r="J147" s="394">
        <f>('SITE DATA'!$F$27-(0.2*G147))^2/('SITE DATA'!$F$27+(0.8*G147))</f>
        <v>0.28125</v>
      </c>
      <c r="K147" s="395">
        <f t="shared" si="8"/>
        <v>64</v>
      </c>
      <c r="L147" s="394">
        <f>('SITE DATA'!$F$28-(0.2*G147))^2/('SITE DATA'!$F$28+(0.8*G147))</f>
        <v>0.28125</v>
      </c>
      <c r="M147" s="395">
        <f t="shared" si="9"/>
        <v>64</v>
      </c>
    </row>
    <row r="148" spans="2:13" ht="19.5" hidden="1" x14ac:dyDescent="0.35">
      <c r="B148" s="509" t="s">
        <v>541</v>
      </c>
      <c r="C148" s="506"/>
      <c r="D148" s="513"/>
      <c r="E148" s="507"/>
      <c r="F148" s="507"/>
      <c r="G148" s="393">
        <f t="shared" si="6"/>
        <v>5.384615384615385</v>
      </c>
      <c r="H148" s="394">
        <f>('SITE DATA'!$F$26-(0.2*G148))^2/('SITE DATA'!$F$26+(0.8*G148))</f>
        <v>0.26923076923076927</v>
      </c>
      <c r="I148" s="395">
        <f t="shared" si="7"/>
        <v>65</v>
      </c>
      <c r="J148" s="394">
        <f>('SITE DATA'!$F$27-(0.2*G148))^2/('SITE DATA'!$F$27+(0.8*G148))</f>
        <v>0.26923076923076927</v>
      </c>
      <c r="K148" s="395">
        <f t="shared" si="8"/>
        <v>65</v>
      </c>
      <c r="L148" s="394">
        <f>('SITE DATA'!$F$28-(0.2*G148))^2/('SITE DATA'!$F$28+(0.8*G148))</f>
        <v>0.26923076923076927</v>
      </c>
      <c r="M148" s="395">
        <f t="shared" si="9"/>
        <v>65</v>
      </c>
    </row>
    <row r="149" spans="2:13" hidden="1" x14ac:dyDescent="0.2">
      <c r="B149" s="538"/>
      <c r="C149" s="511" t="s">
        <v>543</v>
      </c>
      <c r="D149" s="613" t="e">
        <f>(SUM(D25:E25))/SUM(D17:M25)</f>
        <v>#DIV/0!</v>
      </c>
      <c r="E149" s="507"/>
      <c r="F149" s="507"/>
      <c r="G149" s="393">
        <f t="shared" si="6"/>
        <v>5.1515151515151523</v>
      </c>
      <c r="H149" s="394">
        <f>('SITE DATA'!$F$26-(0.2*G149))^2/('SITE DATA'!$F$26+(0.8*G149))</f>
        <v>0.25757575757575762</v>
      </c>
      <c r="I149" s="395">
        <f t="shared" si="7"/>
        <v>66</v>
      </c>
      <c r="J149" s="394">
        <f>('SITE DATA'!$F$27-(0.2*G149))^2/('SITE DATA'!$F$27+(0.8*G149))</f>
        <v>0.25757575757575762</v>
      </c>
      <c r="K149" s="395">
        <f t="shared" si="8"/>
        <v>66</v>
      </c>
      <c r="L149" s="394">
        <f>('SITE DATA'!$F$28-(0.2*G149))^2/('SITE DATA'!$F$28+(0.8*G149))</f>
        <v>0.25757575757575762</v>
      </c>
      <c r="M149" s="395">
        <f t="shared" si="9"/>
        <v>66</v>
      </c>
    </row>
    <row r="150" spans="2:13" ht="24" hidden="1" thickBot="1" x14ac:dyDescent="0.4">
      <c r="B150" s="540" t="s">
        <v>569</v>
      </c>
      <c r="C150" s="511" t="s">
        <v>547</v>
      </c>
      <c r="D150" s="539" t="e">
        <f>0.05+(0.9*D149)</f>
        <v>#DIV/0!</v>
      </c>
      <c r="E150" s="507" t="s">
        <v>726</v>
      </c>
      <c r="F150" s="507"/>
      <c r="G150" s="393">
        <f t="shared" si="6"/>
        <v>4.9253731343283587</v>
      </c>
      <c r="H150" s="394">
        <f>('SITE DATA'!$F$26-(0.2*G150))^2/('SITE DATA'!$F$26+(0.8*G150))</f>
        <v>0.24626865671641796</v>
      </c>
      <c r="I150" s="395">
        <f t="shared" si="7"/>
        <v>67</v>
      </c>
      <c r="J150" s="394">
        <f>('SITE DATA'!$F$27-(0.2*G150))^2/('SITE DATA'!$F$27+(0.8*G150))</f>
        <v>0.24626865671641796</v>
      </c>
      <c r="K150" s="395">
        <f t="shared" si="8"/>
        <v>67</v>
      </c>
      <c r="L150" s="394">
        <f>('SITE DATA'!$F$28-(0.2*G150))^2/('SITE DATA'!$F$28+(0.8*G150))</f>
        <v>0.24626865671641796</v>
      </c>
      <c r="M150" s="395">
        <f t="shared" si="9"/>
        <v>67</v>
      </c>
    </row>
    <row r="151" spans="2:13" ht="24" hidden="1" thickBot="1" x14ac:dyDescent="0.4">
      <c r="B151" s="540"/>
      <c r="C151" s="534" t="s">
        <v>549</v>
      </c>
      <c r="D151" s="535" t="e">
        <f>3630*1*D150*SUM(D17:E25)</f>
        <v>#DIV/0!</v>
      </c>
      <c r="E151" s="615" t="e">
        <f>D151</f>
        <v>#DIV/0!</v>
      </c>
      <c r="F151" s="507"/>
      <c r="G151" s="393">
        <f t="shared" si="6"/>
        <v>4.7058823529411757</v>
      </c>
      <c r="H151" s="394">
        <f>('SITE DATA'!$F$26-(0.2*G151))^2/('SITE DATA'!$F$26+(0.8*G151))</f>
        <v>0.23529411764705879</v>
      </c>
      <c r="I151" s="395">
        <f t="shared" si="7"/>
        <v>68</v>
      </c>
      <c r="J151" s="394">
        <f>('SITE DATA'!$F$27-(0.2*G151))^2/('SITE DATA'!$F$27+(0.8*G151))</f>
        <v>0.23529411764705879</v>
      </c>
      <c r="K151" s="395">
        <f t="shared" si="8"/>
        <v>68</v>
      </c>
      <c r="L151" s="394">
        <f>('SITE DATA'!$F$28-(0.2*G151))^2/('SITE DATA'!$F$28+(0.8*G151))</f>
        <v>0.23529411764705879</v>
      </c>
      <c r="M151" s="395">
        <f t="shared" si="9"/>
        <v>68</v>
      </c>
    </row>
    <row r="152" spans="2:13" ht="15.75" hidden="1" thickBot="1" x14ac:dyDescent="0.25">
      <c r="B152" s="541"/>
      <c r="C152" s="537"/>
      <c r="D152" s="531"/>
      <c r="E152" s="507"/>
      <c r="F152" s="507"/>
      <c r="G152" s="393">
        <f t="shared" si="6"/>
        <v>4.4927536231884062</v>
      </c>
      <c r="H152" s="394">
        <f>('SITE DATA'!$F$26-(0.2*G152))^2/('SITE DATA'!$F$26+(0.8*G152))</f>
        <v>0.22463768115942032</v>
      </c>
      <c r="I152" s="395">
        <f t="shared" si="7"/>
        <v>69</v>
      </c>
      <c r="J152" s="394">
        <f>('SITE DATA'!$F$27-(0.2*G152))^2/('SITE DATA'!$F$27+(0.8*G152))</f>
        <v>0.22463768115942032</v>
      </c>
      <c r="K152" s="395">
        <f t="shared" si="8"/>
        <v>69</v>
      </c>
      <c r="L152" s="394">
        <f>('SITE DATA'!$F$28-(0.2*G152))^2/('SITE DATA'!$F$28+(0.8*G152))</f>
        <v>0.22463768115942032</v>
      </c>
      <c r="M152" s="395">
        <f t="shared" si="9"/>
        <v>69</v>
      </c>
    </row>
    <row r="153" spans="2:13" hidden="1" x14ac:dyDescent="0.2">
      <c r="B153" s="538"/>
      <c r="C153" s="511" t="s">
        <v>543</v>
      </c>
      <c r="D153" s="613" t="e">
        <f>(SUM(F25:G25))/SUM(D17:M25)</f>
        <v>#DIV/0!</v>
      </c>
      <c r="E153" s="507"/>
      <c r="F153" s="507"/>
      <c r="G153" s="393">
        <f t="shared" si="6"/>
        <v>4.2857142857142865</v>
      </c>
      <c r="H153" s="394">
        <f>('SITE DATA'!$F$26-(0.2*G153))^2/('SITE DATA'!$F$26+(0.8*G153))</f>
        <v>0.21428571428571433</v>
      </c>
      <c r="I153" s="395">
        <f t="shared" si="7"/>
        <v>70</v>
      </c>
      <c r="J153" s="394">
        <f>('SITE DATA'!$F$27-(0.2*G153))^2/('SITE DATA'!$F$27+(0.8*G153))</f>
        <v>0.21428571428571433</v>
      </c>
      <c r="K153" s="395">
        <f t="shared" si="8"/>
        <v>70</v>
      </c>
      <c r="L153" s="394">
        <f>('SITE DATA'!$F$28-(0.2*G153))^2/('SITE DATA'!$F$28+(0.8*G153))</f>
        <v>0.21428571428571433</v>
      </c>
      <c r="M153" s="395">
        <f t="shared" si="9"/>
        <v>70</v>
      </c>
    </row>
    <row r="154" spans="2:13" ht="24" hidden="1" thickBot="1" x14ac:dyDescent="0.4">
      <c r="B154" s="540" t="s">
        <v>570</v>
      </c>
      <c r="C154" s="511" t="s">
        <v>547</v>
      </c>
      <c r="D154" s="539" t="e">
        <f>0.05+(0.9*D153)</f>
        <v>#DIV/0!</v>
      </c>
      <c r="E154" s="507"/>
      <c r="F154" s="507"/>
      <c r="G154" s="393">
        <f t="shared" si="6"/>
        <v>4.0845070422535219</v>
      </c>
      <c r="H154" s="394">
        <f>('SITE DATA'!$F$26-(0.2*G154))^2/('SITE DATA'!$F$26+(0.8*G154))</f>
        <v>0.20422535211267612</v>
      </c>
      <c r="I154" s="395">
        <f t="shared" si="7"/>
        <v>71</v>
      </c>
      <c r="J154" s="394">
        <f>('SITE DATA'!$F$27-(0.2*G154))^2/('SITE DATA'!$F$27+(0.8*G154))</f>
        <v>0.20422535211267612</v>
      </c>
      <c r="K154" s="395">
        <f t="shared" si="8"/>
        <v>71</v>
      </c>
      <c r="L154" s="394">
        <f>('SITE DATA'!$F$28-(0.2*G154))^2/('SITE DATA'!$F$28+(0.8*G154))</f>
        <v>0.20422535211267612</v>
      </c>
      <c r="M154" s="395">
        <f t="shared" si="9"/>
        <v>71</v>
      </c>
    </row>
    <row r="155" spans="2:13" ht="24" hidden="1" thickBot="1" x14ac:dyDescent="0.4">
      <c r="B155" s="540"/>
      <c r="C155" s="534" t="s">
        <v>549</v>
      </c>
      <c r="D155" s="535" t="e">
        <f>3630*1*D154*SUM(F17:G25)</f>
        <v>#DIV/0!</v>
      </c>
      <c r="E155" s="615" t="e">
        <f>D155</f>
        <v>#DIV/0!</v>
      </c>
      <c r="F155" s="507"/>
      <c r="G155" s="393">
        <f t="shared" si="6"/>
        <v>3.8888888888888893</v>
      </c>
      <c r="H155" s="394">
        <f>('SITE DATA'!$F$26-(0.2*G155))^2/('SITE DATA'!$F$26+(0.8*G155))</f>
        <v>0.1944444444444445</v>
      </c>
      <c r="I155" s="395">
        <f t="shared" si="7"/>
        <v>72</v>
      </c>
      <c r="J155" s="394">
        <f>('SITE DATA'!$F$27-(0.2*G155))^2/('SITE DATA'!$F$27+(0.8*G155))</f>
        <v>0.1944444444444445</v>
      </c>
      <c r="K155" s="395">
        <f t="shared" si="8"/>
        <v>72</v>
      </c>
      <c r="L155" s="394">
        <f>('SITE DATA'!$F$28-(0.2*G155))^2/('SITE DATA'!$F$28+(0.8*G155))</f>
        <v>0.1944444444444445</v>
      </c>
      <c r="M155" s="395">
        <f t="shared" si="9"/>
        <v>72</v>
      </c>
    </row>
    <row r="156" spans="2:13" ht="15.75" hidden="1" thickBot="1" x14ac:dyDescent="0.25">
      <c r="B156" s="541"/>
      <c r="C156" s="537"/>
      <c r="D156" s="531"/>
      <c r="E156" s="507"/>
      <c r="F156" s="507"/>
      <c r="G156" s="393">
        <f t="shared" si="6"/>
        <v>3.6986301369863011</v>
      </c>
      <c r="H156" s="394">
        <f>('SITE DATA'!$F$26-(0.2*G156))^2/('SITE DATA'!$F$26+(0.8*G156))</f>
        <v>0.18493150684931509</v>
      </c>
      <c r="I156" s="395">
        <f t="shared" si="7"/>
        <v>73</v>
      </c>
      <c r="J156" s="394">
        <f>('SITE DATA'!$F$27-(0.2*G156))^2/('SITE DATA'!$F$27+(0.8*G156))</f>
        <v>0.18493150684931509</v>
      </c>
      <c r="K156" s="395">
        <f t="shared" si="8"/>
        <v>73</v>
      </c>
      <c r="L156" s="394">
        <f>('SITE DATA'!$F$28-(0.2*G156))^2/('SITE DATA'!$F$28+(0.8*G156))</f>
        <v>0.18493150684931509</v>
      </c>
      <c r="M156" s="395">
        <f t="shared" si="9"/>
        <v>73</v>
      </c>
    </row>
    <row r="157" spans="2:13" hidden="1" x14ac:dyDescent="0.2">
      <c r="B157" s="538"/>
      <c r="C157" s="511" t="s">
        <v>543</v>
      </c>
      <c r="D157" s="613" t="e">
        <f>(SUM(H25:I25))/SUM(D17:M25)</f>
        <v>#DIV/0!</v>
      </c>
      <c r="E157" s="507"/>
      <c r="F157" s="507"/>
      <c r="G157" s="393">
        <f t="shared" si="6"/>
        <v>3.513513513513514</v>
      </c>
      <c r="H157" s="394">
        <f>('SITE DATA'!$F$26-(0.2*G157))^2/('SITE DATA'!$F$26+(0.8*G157))</f>
        <v>0.17567567567567571</v>
      </c>
      <c r="I157" s="395">
        <f t="shared" si="7"/>
        <v>74</v>
      </c>
      <c r="J157" s="394">
        <f>('SITE DATA'!$F$27-(0.2*G157))^2/('SITE DATA'!$F$27+(0.8*G157))</f>
        <v>0.17567567567567571</v>
      </c>
      <c r="K157" s="395">
        <f t="shared" si="8"/>
        <v>74</v>
      </c>
      <c r="L157" s="394">
        <f>('SITE DATA'!$F$28-(0.2*G157))^2/('SITE DATA'!$F$28+(0.8*G157))</f>
        <v>0.17567567567567571</v>
      </c>
      <c r="M157" s="395">
        <f t="shared" si="9"/>
        <v>74</v>
      </c>
    </row>
    <row r="158" spans="2:13" ht="24" hidden="1" thickBot="1" x14ac:dyDescent="0.4">
      <c r="B158" s="540" t="s">
        <v>571</v>
      </c>
      <c r="C158" s="511" t="s">
        <v>547</v>
      </c>
      <c r="D158" s="539" t="e">
        <f>0.05+(0.9*D157)</f>
        <v>#DIV/0!</v>
      </c>
      <c r="E158" s="507"/>
      <c r="F158" s="507"/>
      <c r="G158" s="393">
        <f t="shared" si="6"/>
        <v>3.3333333333333339</v>
      </c>
      <c r="H158" s="394">
        <f>('SITE DATA'!$F$26-(0.2*G158))^2/('SITE DATA'!$F$26+(0.8*G158))</f>
        <v>0.16666666666666671</v>
      </c>
      <c r="I158" s="395">
        <f t="shared" si="7"/>
        <v>75</v>
      </c>
      <c r="J158" s="394">
        <f>('SITE DATA'!$F$27-(0.2*G158))^2/('SITE DATA'!$F$27+(0.8*G158))</f>
        <v>0.16666666666666671</v>
      </c>
      <c r="K158" s="395">
        <f t="shared" si="8"/>
        <v>75</v>
      </c>
      <c r="L158" s="394">
        <f>('SITE DATA'!$F$28-(0.2*G158))^2/('SITE DATA'!$F$28+(0.8*G158))</f>
        <v>0.16666666666666671</v>
      </c>
      <c r="M158" s="395">
        <f t="shared" si="9"/>
        <v>75</v>
      </c>
    </row>
    <row r="159" spans="2:13" ht="24" hidden="1" thickBot="1" x14ac:dyDescent="0.4">
      <c r="B159" s="540"/>
      <c r="C159" s="534" t="s">
        <v>549</v>
      </c>
      <c r="D159" s="535" t="e">
        <f>3630*1*D158*SUM(H17:I25)</f>
        <v>#DIV/0!</v>
      </c>
      <c r="E159" s="615" t="e">
        <f>D159</f>
        <v>#DIV/0!</v>
      </c>
      <c r="F159" s="507"/>
      <c r="G159" s="393">
        <f t="shared" si="6"/>
        <v>3.1578947368421044</v>
      </c>
      <c r="H159" s="394">
        <f>('SITE DATA'!$F$26-(0.2*G159))^2/('SITE DATA'!$F$26+(0.8*G159))</f>
        <v>0.15789473684210523</v>
      </c>
      <c r="I159" s="586">
        <f t="shared" si="7"/>
        <v>76</v>
      </c>
      <c r="J159" s="394">
        <f>('SITE DATA'!$F$27-(0.2*G159))^2/('SITE DATA'!$F$27+(0.8*G159))</f>
        <v>0.15789473684210523</v>
      </c>
      <c r="K159" s="586">
        <f t="shared" si="8"/>
        <v>76</v>
      </c>
      <c r="L159" s="394">
        <f>('SITE DATA'!$F$28-(0.2*G159))^2/('SITE DATA'!$F$28+(0.8*G159))</f>
        <v>0.15789473684210523</v>
      </c>
      <c r="M159" s="586">
        <f t="shared" si="9"/>
        <v>76</v>
      </c>
    </row>
    <row r="160" spans="2:13" ht="15.75" hidden="1" thickBot="1" x14ac:dyDescent="0.25">
      <c r="B160" s="541"/>
      <c r="C160" s="537"/>
      <c r="D160" s="531"/>
      <c r="E160" s="507"/>
      <c r="F160" s="507"/>
      <c r="G160" s="393">
        <f t="shared" si="6"/>
        <v>2.9870129870129869</v>
      </c>
      <c r="H160" s="394">
        <f>('SITE DATA'!$F$26-(0.2*G160))^2/('SITE DATA'!$F$26+(0.8*G160))</f>
        <v>0.14935064935064934</v>
      </c>
      <c r="I160" s="586">
        <f t="shared" si="7"/>
        <v>77</v>
      </c>
      <c r="J160" s="394">
        <f>('SITE DATA'!$F$27-(0.2*G160))^2/('SITE DATA'!$F$27+(0.8*G160))</f>
        <v>0.14935064935064934</v>
      </c>
      <c r="K160" s="586">
        <f t="shared" si="8"/>
        <v>77</v>
      </c>
      <c r="L160" s="394">
        <f>('SITE DATA'!$F$28-(0.2*G160))^2/('SITE DATA'!$F$28+(0.8*G160))</f>
        <v>0.14935064935064934</v>
      </c>
      <c r="M160" s="586">
        <f t="shared" si="9"/>
        <v>77</v>
      </c>
    </row>
    <row r="161" spans="2:13" hidden="1" x14ac:dyDescent="0.2">
      <c r="B161" s="538"/>
      <c r="C161" s="511" t="s">
        <v>543</v>
      </c>
      <c r="D161" s="613" t="e">
        <f>(SUM(J25:K25))/SUM(D17:M25)</f>
        <v>#DIV/0!</v>
      </c>
      <c r="E161" s="507"/>
      <c r="F161" s="507"/>
      <c r="G161" s="393">
        <f t="shared" si="6"/>
        <v>2.8205128205128212</v>
      </c>
      <c r="H161" s="394">
        <f>('SITE DATA'!$F$26-(0.2*G161))^2/('SITE DATA'!$F$26+(0.8*G161))</f>
        <v>0.14102564102564105</v>
      </c>
      <c r="I161" s="586">
        <f t="shared" si="7"/>
        <v>78</v>
      </c>
      <c r="J161" s="394">
        <f>('SITE DATA'!$F$27-(0.2*G161))^2/('SITE DATA'!$F$27+(0.8*G161))</f>
        <v>0.14102564102564105</v>
      </c>
      <c r="K161" s="586">
        <f t="shared" si="8"/>
        <v>78</v>
      </c>
      <c r="L161" s="394">
        <f>('SITE DATA'!$F$28-(0.2*G161))^2/('SITE DATA'!$F$28+(0.8*G161))</f>
        <v>0.14102564102564105</v>
      </c>
      <c r="M161" s="586">
        <f t="shared" si="9"/>
        <v>78</v>
      </c>
    </row>
    <row r="162" spans="2:13" ht="24" hidden="1" thickBot="1" x14ac:dyDescent="0.4">
      <c r="B162" s="540" t="s">
        <v>572</v>
      </c>
      <c r="C162" s="511" t="s">
        <v>547</v>
      </c>
      <c r="D162" s="539" t="e">
        <f>0.05+(0.9*D161)</f>
        <v>#DIV/0!</v>
      </c>
      <c r="E162" s="507"/>
      <c r="F162" s="507"/>
      <c r="G162" s="393">
        <f t="shared" si="6"/>
        <v>2.6582278481012658</v>
      </c>
      <c r="H162" s="394">
        <f>('SITE DATA'!$F$26-(0.2*G162))^2/('SITE DATA'!$F$26+(0.8*G162))</f>
        <v>0.13291139240506331</v>
      </c>
      <c r="I162" s="586">
        <f t="shared" si="7"/>
        <v>79</v>
      </c>
      <c r="J162" s="394">
        <f>('SITE DATA'!$F$27-(0.2*G162))^2/('SITE DATA'!$F$27+(0.8*G162))</f>
        <v>0.13291139240506331</v>
      </c>
      <c r="K162" s="586">
        <f t="shared" si="8"/>
        <v>79</v>
      </c>
      <c r="L162" s="394">
        <f>('SITE DATA'!$F$28-(0.2*G162))^2/('SITE DATA'!$F$28+(0.8*G162))</f>
        <v>0.13291139240506331</v>
      </c>
      <c r="M162" s="586">
        <f t="shared" si="9"/>
        <v>79</v>
      </c>
    </row>
    <row r="163" spans="2:13" ht="24" hidden="1" thickBot="1" x14ac:dyDescent="0.4">
      <c r="B163" s="540"/>
      <c r="C163" s="534" t="s">
        <v>549</v>
      </c>
      <c r="D163" s="535" t="e">
        <f>3630*1*D162*SUM(J17:K25)</f>
        <v>#DIV/0!</v>
      </c>
      <c r="E163" s="615" t="e">
        <f>D163</f>
        <v>#DIV/0!</v>
      </c>
      <c r="F163" s="507"/>
      <c r="G163" s="393">
        <f t="shared" si="6"/>
        <v>2.5</v>
      </c>
      <c r="H163" s="394">
        <f>('SITE DATA'!$F$26-(0.2*G163))^2/('SITE DATA'!$F$26+(0.8*G163))</f>
        <v>0.125</v>
      </c>
      <c r="I163" s="586">
        <f t="shared" si="7"/>
        <v>80</v>
      </c>
      <c r="J163" s="394">
        <f>('SITE DATA'!$F$27-(0.2*G163))^2/('SITE DATA'!$F$27+(0.8*G163))</f>
        <v>0.125</v>
      </c>
      <c r="K163" s="586">
        <f t="shared" si="8"/>
        <v>80</v>
      </c>
      <c r="L163" s="394">
        <f>('SITE DATA'!$F$28-(0.2*G163))^2/('SITE DATA'!$F$28+(0.8*G163))</f>
        <v>0.125</v>
      </c>
      <c r="M163" s="586">
        <f t="shared" si="9"/>
        <v>80</v>
      </c>
    </row>
    <row r="164" spans="2:13" ht="15.75" hidden="1" thickBot="1" x14ac:dyDescent="0.25">
      <c r="B164" s="541"/>
      <c r="C164" s="537"/>
      <c r="D164" s="531"/>
      <c r="E164" s="507"/>
      <c r="F164" s="507"/>
      <c r="G164" s="393">
        <f t="shared" si="6"/>
        <v>2.3456790123456788</v>
      </c>
      <c r="H164" s="394">
        <f>('SITE DATA'!$F$26-(0.2*G164))^2/('SITE DATA'!$F$26+(0.8*G164))</f>
        <v>0.11728395061728394</v>
      </c>
      <c r="I164" s="586">
        <f t="shared" si="7"/>
        <v>81</v>
      </c>
      <c r="J164" s="394">
        <f>('SITE DATA'!$F$27-(0.2*G164))^2/('SITE DATA'!$F$27+(0.8*G164))</f>
        <v>0.11728395061728394</v>
      </c>
      <c r="K164" s="586">
        <f t="shared" si="8"/>
        <v>81</v>
      </c>
      <c r="L164" s="394">
        <f>('SITE DATA'!$F$28-(0.2*G164))^2/('SITE DATA'!$F$28+(0.8*G164))</f>
        <v>0.11728395061728394</v>
      </c>
      <c r="M164" s="586">
        <f t="shared" si="9"/>
        <v>81</v>
      </c>
    </row>
    <row r="165" spans="2:13" hidden="1" x14ac:dyDescent="0.2">
      <c r="B165" s="538"/>
      <c r="C165" s="511" t="s">
        <v>543</v>
      </c>
      <c r="D165" s="613" t="e">
        <f>(SUM(L25:M25))/SUM(D17:M25)</f>
        <v>#DIV/0!</v>
      </c>
      <c r="E165" s="507"/>
      <c r="F165" s="507"/>
      <c r="G165" s="393">
        <f t="shared" si="6"/>
        <v>2.1951219512195124</v>
      </c>
      <c r="H165" s="394">
        <f>('SITE DATA'!$F$26-(0.2*G165))^2/('SITE DATA'!$F$26+(0.8*G165))</f>
        <v>0.10975609756097562</v>
      </c>
      <c r="I165" s="586">
        <f t="shared" si="7"/>
        <v>82</v>
      </c>
      <c r="J165" s="394">
        <f>('SITE DATA'!$F$27-(0.2*G165))^2/('SITE DATA'!$F$27+(0.8*G165))</f>
        <v>0.10975609756097562</v>
      </c>
      <c r="K165" s="586">
        <f t="shared" si="8"/>
        <v>82</v>
      </c>
      <c r="L165" s="394">
        <f>('SITE DATA'!$F$28-(0.2*G165))^2/('SITE DATA'!$F$28+(0.8*G165))</f>
        <v>0.10975609756097562</v>
      </c>
      <c r="M165" s="586">
        <f t="shared" si="9"/>
        <v>82</v>
      </c>
    </row>
    <row r="166" spans="2:13" ht="24" hidden="1" thickBot="1" x14ac:dyDescent="0.4">
      <c r="B166" s="540" t="s">
        <v>573</v>
      </c>
      <c r="C166" s="511" t="s">
        <v>547</v>
      </c>
      <c r="D166" s="539" t="e">
        <f>0.05+(0.9*D165)</f>
        <v>#DIV/0!</v>
      </c>
      <c r="E166" s="507"/>
      <c r="F166" s="507"/>
      <c r="G166" s="393">
        <f t="shared" si="6"/>
        <v>2.0481927710843379</v>
      </c>
      <c r="H166" s="394">
        <f>('SITE DATA'!$F$26-(0.2*G166))^2/('SITE DATA'!$F$26+(0.8*G166))</f>
        <v>0.10240963855421689</v>
      </c>
      <c r="I166" s="586">
        <f t="shared" si="7"/>
        <v>83</v>
      </c>
      <c r="J166" s="394">
        <f>('SITE DATA'!$F$27-(0.2*G166))^2/('SITE DATA'!$F$27+(0.8*G166))</f>
        <v>0.10240963855421689</v>
      </c>
      <c r="K166" s="586">
        <f t="shared" si="8"/>
        <v>83</v>
      </c>
      <c r="L166" s="394">
        <f>('SITE DATA'!$F$28-(0.2*G166))^2/('SITE DATA'!$F$28+(0.8*G166))</f>
        <v>0.10240963855421689</v>
      </c>
      <c r="M166" s="586">
        <f t="shared" si="9"/>
        <v>83</v>
      </c>
    </row>
    <row r="167" spans="2:13" ht="24" hidden="1" thickBot="1" x14ac:dyDescent="0.4">
      <c r="B167" s="540"/>
      <c r="C167" s="534" t="s">
        <v>549</v>
      </c>
      <c r="D167" s="535" t="e">
        <f>3630*1*D166*SUM(L17:M25)</f>
        <v>#DIV/0!</v>
      </c>
      <c r="E167" s="615" t="e">
        <f>D167</f>
        <v>#DIV/0!</v>
      </c>
      <c r="F167" s="507"/>
      <c r="G167" s="393">
        <f t="shared" si="6"/>
        <v>1.9047619047619051</v>
      </c>
      <c r="H167" s="394">
        <f>('SITE DATA'!$F$26-(0.2*G167))^2/('SITE DATA'!$F$26+(0.8*G167))</f>
        <v>9.5238095238095261E-2</v>
      </c>
      <c r="I167" s="586">
        <f t="shared" si="7"/>
        <v>84</v>
      </c>
      <c r="J167" s="394">
        <f>('SITE DATA'!$F$27-(0.2*G167))^2/('SITE DATA'!$F$27+(0.8*G167))</f>
        <v>9.5238095238095261E-2</v>
      </c>
      <c r="K167" s="586">
        <f t="shared" si="8"/>
        <v>84</v>
      </c>
      <c r="L167" s="394">
        <f>('SITE DATA'!$F$28-(0.2*G167))^2/('SITE DATA'!$F$28+(0.8*G167))</f>
        <v>9.5238095238095261E-2</v>
      </c>
      <c r="M167" s="586">
        <f t="shared" si="9"/>
        <v>84</v>
      </c>
    </row>
    <row r="168" spans="2:13" ht="15.75" hidden="1" thickBot="1" x14ac:dyDescent="0.25">
      <c r="B168" s="541"/>
      <c r="C168" s="537"/>
      <c r="D168" s="531"/>
      <c r="E168" s="507"/>
      <c r="F168" s="507"/>
      <c r="G168" s="393">
        <f t="shared" si="6"/>
        <v>1.764705882352942</v>
      </c>
      <c r="H168" s="394">
        <f>('SITE DATA'!$F$26-(0.2*G168))^2/('SITE DATA'!$F$26+(0.8*G168))</f>
        <v>8.8235294117647106E-2</v>
      </c>
      <c r="I168" s="586">
        <f t="shared" si="7"/>
        <v>85</v>
      </c>
      <c r="J168" s="394">
        <f>('SITE DATA'!$F$27-(0.2*G168))^2/('SITE DATA'!$F$27+(0.8*G168))</f>
        <v>8.8235294117647106E-2</v>
      </c>
      <c r="K168" s="586">
        <f t="shared" si="8"/>
        <v>85</v>
      </c>
      <c r="L168" s="394">
        <f>('SITE DATA'!$F$28-(0.2*G168))^2/('SITE DATA'!$F$28+(0.8*G168))</f>
        <v>8.8235294117647106E-2</v>
      </c>
      <c r="M168" s="586">
        <f t="shared" si="9"/>
        <v>85</v>
      </c>
    </row>
    <row r="169" spans="2:13" hidden="1" x14ac:dyDescent="0.2">
      <c r="B169" s="397"/>
      <c r="C169" s="507"/>
      <c r="D169" s="507"/>
      <c r="E169" s="507"/>
      <c r="F169" s="160"/>
      <c r="G169" s="393">
        <f t="shared" si="6"/>
        <v>1.6279069767441854</v>
      </c>
      <c r="H169" s="394">
        <f>('SITE DATA'!$F$26-(0.2*G169))^2/('SITE DATA'!$F$26+(0.8*G169))</f>
        <v>8.139534883720928E-2</v>
      </c>
      <c r="I169" s="586">
        <f t="shared" si="7"/>
        <v>86</v>
      </c>
      <c r="J169" s="394">
        <f>('SITE DATA'!$F$27-(0.2*G169))^2/('SITE DATA'!$F$27+(0.8*G169))</f>
        <v>8.139534883720928E-2</v>
      </c>
      <c r="K169" s="586">
        <f t="shared" si="8"/>
        <v>86</v>
      </c>
      <c r="L169" s="394">
        <f>('SITE DATA'!$F$28-(0.2*G169))^2/('SITE DATA'!$F$28+(0.8*G169))</f>
        <v>8.139534883720928E-2</v>
      </c>
      <c r="M169" s="586">
        <f t="shared" si="9"/>
        <v>86</v>
      </c>
    </row>
    <row r="170" spans="2:13" hidden="1" x14ac:dyDescent="0.2">
      <c r="B170" s="397"/>
      <c r="C170" s="507"/>
      <c r="D170" s="507"/>
      <c r="E170" s="507"/>
      <c r="F170" s="507"/>
      <c r="G170" s="393">
        <f t="shared" si="6"/>
        <v>1.4942528735632177</v>
      </c>
      <c r="H170" s="394">
        <f>('SITE DATA'!$F$26-(0.2*G170))^2/('SITE DATA'!$F$26+(0.8*G170))</f>
        <v>7.4712643678160884E-2</v>
      </c>
      <c r="I170" s="586">
        <f t="shared" si="7"/>
        <v>87</v>
      </c>
      <c r="J170" s="394">
        <f>('SITE DATA'!$F$27-(0.2*G170))^2/('SITE DATA'!$F$27+(0.8*G170))</f>
        <v>7.4712643678160884E-2</v>
      </c>
      <c r="K170" s="586">
        <f t="shared" si="8"/>
        <v>87</v>
      </c>
      <c r="L170" s="394">
        <f>('SITE DATA'!$F$28-(0.2*G170))^2/('SITE DATA'!$F$28+(0.8*G170))</f>
        <v>7.4712643678160884E-2</v>
      </c>
      <c r="M170" s="586">
        <f t="shared" si="9"/>
        <v>87</v>
      </c>
    </row>
    <row r="171" spans="2:13" hidden="1" x14ac:dyDescent="0.2">
      <c r="B171" s="397"/>
      <c r="C171" s="507"/>
      <c r="D171" s="507"/>
      <c r="E171" s="507"/>
      <c r="F171" s="507"/>
      <c r="G171" s="393">
        <f t="shared" si="6"/>
        <v>1.3636363636363633</v>
      </c>
      <c r="H171" s="394">
        <f>('SITE DATA'!$F$26-(0.2*G171))^2/('SITE DATA'!$F$26+(0.8*G171))</f>
        <v>6.8181818181818163E-2</v>
      </c>
      <c r="I171" s="586">
        <f t="shared" si="7"/>
        <v>88</v>
      </c>
      <c r="J171" s="394">
        <f>('SITE DATA'!$F$27-(0.2*G171))^2/('SITE DATA'!$F$27+(0.8*G171))</f>
        <v>6.8181818181818163E-2</v>
      </c>
      <c r="K171" s="586">
        <f t="shared" si="8"/>
        <v>88</v>
      </c>
      <c r="L171" s="394">
        <f>('SITE DATA'!$F$28-(0.2*G171))^2/('SITE DATA'!$F$28+(0.8*G171))</f>
        <v>6.8181818181818163E-2</v>
      </c>
      <c r="M171" s="586">
        <f t="shared" si="9"/>
        <v>88</v>
      </c>
    </row>
    <row r="172" spans="2:13" hidden="1" x14ac:dyDescent="0.2">
      <c r="B172" s="397"/>
      <c r="C172" s="507"/>
      <c r="D172" s="507"/>
      <c r="E172" s="507"/>
      <c r="F172" s="507"/>
      <c r="G172" s="393">
        <f t="shared" si="6"/>
        <v>1.2359550561797761</v>
      </c>
      <c r="H172" s="394">
        <f>('SITE DATA'!$F$26-(0.2*G172))^2/('SITE DATA'!$F$26+(0.8*G172))</f>
        <v>6.1797752808988804E-2</v>
      </c>
      <c r="I172" s="586">
        <f t="shared" si="7"/>
        <v>89</v>
      </c>
      <c r="J172" s="394">
        <f>('SITE DATA'!$F$27-(0.2*G172))^2/('SITE DATA'!$F$27+(0.8*G172))</f>
        <v>6.1797752808988804E-2</v>
      </c>
      <c r="K172" s="586">
        <f t="shared" si="8"/>
        <v>89</v>
      </c>
      <c r="L172" s="394">
        <f>('SITE DATA'!$F$28-(0.2*G172))^2/('SITE DATA'!$F$28+(0.8*G172))</f>
        <v>6.1797752808988804E-2</v>
      </c>
      <c r="M172" s="586">
        <f t="shared" si="9"/>
        <v>89</v>
      </c>
    </row>
    <row r="173" spans="2:13" hidden="1" x14ac:dyDescent="0.2">
      <c r="B173" s="397"/>
      <c r="C173" s="507"/>
      <c r="D173" s="507"/>
      <c r="E173" s="507"/>
      <c r="F173" s="507"/>
      <c r="G173" s="393">
        <f t="shared" si="6"/>
        <v>1.1111111111111107</v>
      </c>
      <c r="H173" s="394">
        <f>('SITE DATA'!$F$26-(0.2*G173))^2/('SITE DATA'!$F$26+(0.8*G173))</f>
        <v>5.5555555555555539E-2</v>
      </c>
      <c r="I173" s="586">
        <f t="shared" si="7"/>
        <v>90</v>
      </c>
      <c r="J173" s="394">
        <f>('SITE DATA'!$F$27-(0.2*G173))^2/('SITE DATA'!$F$27+(0.8*G173))</f>
        <v>5.5555555555555539E-2</v>
      </c>
      <c r="K173" s="586">
        <f t="shared" si="8"/>
        <v>90</v>
      </c>
      <c r="L173" s="394">
        <f>('SITE DATA'!$F$28-(0.2*G173))^2/('SITE DATA'!$F$28+(0.8*G173))</f>
        <v>5.5555555555555539E-2</v>
      </c>
      <c r="M173" s="586">
        <f t="shared" si="9"/>
        <v>90</v>
      </c>
    </row>
    <row r="174" spans="2:13" hidden="1" x14ac:dyDescent="0.2">
      <c r="B174" s="397"/>
      <c r="C174" s="507"/>
      <c r="D174" s="507"/>
      <c r="E174" s="507"/>
      <c r="F174" s="507"/>
      <c r="G174" s="393">
        <f t="shared" si="6"/>
        <v>0.98901098901098905</v>
      </c>
      <c r="H174" s="394">
        <f>('SITE DATA'!$F$26-(0.2*G174))^2/('SITE DATA'!$F$26+(0.8*G174))</f>
        <v>4.9450549450549455E-2</v>
      </c>
      <c r="I174" s="586">
        <f t="shared" si="7"/>
        <v>91</v>
      </c>
      <c r="J174" s="394">
        <f>('SITE DATA'!$F$27-(0.2*G174))^2/('SITE DATA'!$F$27+(0.8*G174))</f>
        <v>4.9450549450549455E-2</v>
      </c>
      <c r="K174" s="586">
        <f t="shared" si="8"/>
        <v>91</v>
      </c>
      <c r="L174" s="394">
        <f>('SITE DATA'!$F$28-(0.2*G174))^2/('SITE DATA'!$F$28+(0.8*G174))</f>
        <v>4.9450549450549455E-2</v>
      </c>
      <c r="M174" s="586">
        <f t="shared" si="9"/>
        <v>91</v>
      </c>
    </row>
    <row r="175" spans="2:13" hidden="1" x14ac:dyDescent="0.2">
      <c r="B175" s="397"/>
      <c r="C175" s="507"/>
      <c r="D175" s="507"/>
      <c r="E175" s="507"/>
      <c r="F175" s="507"/>
      <c r="G175" s="393">
        <f t="shared" si="6"/>
        <v>0.86956521739130466</v>
      </c>
      <c r="H175" s="394">
        <f>('SITE DATA'!$F$26-(0.2*G175))^2/('SITE DATA'!$F$26+(0.8*G175))</f>
        <v>4.3478260869565237E-2</v>
      </c>
      <c r="I175" s="586">
        <f t="shared" si="7"/>
        <v>92</v>
      </c>
      <c r="J175" s="394">
        <f>('SITE DATA'!$F$27-(0.2*G175))^2/('SITE DATA'!$F$27+(0.8*G175))</f>
        <v>4.3478260869565237E-2</v>
      </c>
      <c r="K175" s="586">
        <f t="shared" si="8"/>
        <v>92</v>
      </c>
      <c r="L175" s="394">
        <f>('SITE DATA'!$F$28-(0.2*G175))^2/('SITE DATA'!$F$28+(0.8*G175))</f>
        <v>4.3478260869565237E-2</v>
      </c>
      <c r="M175" s="586">
        <f t="shared" si="9"/>
        <v>92</v>
      </c>
    </row>
    <row r="176" spans="2:13" hidden="1" x14ac:dyDescent="0.2">
      <c r="B176" s="397"/>
      <c r="C176" s="507"/>
      <c r="D176" s="507"/>
      <c r="E176" s="507"/>
      <c r="F176" s="507"/>
      <c r="G176" s="393">
        <f t="shared" si="6"/>
        <v>0.75268817204301008</v>
      </c>
      <c r="H176" s="394">
        <f>('SITE DATA'!$F$26-(0.2*G176))^2/('SITE DATA'!$F$26+(0.8*G176))</f>
        <v>3.7634408602150504E-2</v>
      </c>
      <c r="I176" s="586">
        <f t="shared" si="7"/>
        <v>93</v>
      </c>
      <c r="J176" s="394">
        <f>('SITE DATA'!$F$27-(0.2*G176))^2/('SITE DATA'!$F$27+(0.8*G176))</f>
        <v>3.7634408602150504E-2</v>
      </c>
      <c r="K176" s="586">
        <f t="shared" si="8"/>
        <v>93</v>
      </c>
      <c r="L176" s="394">
        <f>('SITE DATA'!$F$28-(0.2*G176))^2/('SITE DATA'!$F$28+(0.8*G176))</f>
        <v>3.7634408602150504E-2</v>
      </c>
      <c r="M176" s="586">
        <f t="shared" si="9"/>
        <v>93</v>
      </c>
    </row>
    <row r="177" spans="2:14" hidden="1" x14ac:dyDescent="0.2">
      <c r="B177" s="397"/>
      <c r="C177" s="507"/>
      <c r="D177" s="507"/>
      <c r="E177" s="507"/>
      <c r="F177" s="507"/>
      <c r="G177" s="393">
        <f t="shared" si="6"/>
        <v>0.63829787234042534</v>
      </c>
      <c r="H177" s="394">
        <f>('SITE DATA'!$F$26-(0.2*G177))^2/('SITE DATA'!$F$26+(0.8*G177))</f>
        <v>3.1914893617021267E-2</v>
      </c>
      <c r="I177" s="586">
        <f t="shared" si="7"/>
        <v>94</v>
      </c>
      <c r="J177" s="394">
        <f>('SITE DATA'!$F$27-(0.2*G177))^2/('SITE DATA'!$F$27+(0.8*G177))</f>
        <v>3.1914893617021267E-2</v>
      </c>
      <c r="K177" s="586">
        <f t="shared" si="8"/>
        <v>94</v>
      </c>
      <c r="L177" s="394">
        <f>('SITE DATA'!$F$28-(0.2*G177))^2/('SITE DATA'!$F$28+(0.8*G177))</f>
        <v>3.1914893617021267E-2</v>
      </c>
      <c r="M177" s="586">
        <f t="shared" si="9"/>
        <v>94</v>
      </c>
    </row>
    <row r="178" spans="2:14" hidden="1" x14ac:dyDescent="0.2">
      <c r="B178" s="397"/>
      <c r="C178" s="507"/>
      <c r="D178" s="507"/>
      <c r="E178" s="507"/>
      <c r="F178" s="507"/>
      <c r="G178" s="393">
        <f t="shared" si="6"/>
        <v>0.52631578947368496</v>
      </c>
      <c r="H178" s="394">
        <f>('SITE DATA'!$F$26-(0.2*G178))^2/('SITE DATA'!$F$26+(0.8*G178))</f>
        <v>2.6315789473684247E-2</v>
      </c>
      <c r="I178" s="586">
        <f t="shared" si="7"/>
        <v>95</v>
      </c>
      <c r="J178" s="394">
        <f>('SITE DATA'!$F$27-(0.2*G178))^2/('SITE DATA'!$F$27+(0.8*G178))</f>
        <v>2.6315789473684247E-2</v>
      </c>
      <c r="K178" s="586">
        <f t="shared" si="8"/>
        <v>95</v>
      </c>
      <c r="L178" s="394">
        <f>('SITE DATA'!$F$28-(0.2*G178))^2/('SITE DATA'!$F$28+(0.8*G178))</f>
        <v>2.6315789473684247E-2</v>
      </c>
      <c r="M178" s="586">
        <f t="shared" si="9"/>
        <v>95</v>
      </c>
    </row>
    <row r="179" spans="2:14" hidden="1" x14ac:dyDescent="0.2">
      <c r="B179" s="397"/>
      <c r="C179" s="507"/>
      <c r="D179" s="507"/>
      <c r="E179" s="507"/>
      <c r="F179" s="507"/>
      <c r="G179" s="393">
        <f t="shared" si="6"/>
        <v>0.41666666666666607</v>
      </c>
      <c r="H179" s="394">
        <f>('SITE DATA'!$F$26-(0.2*G179))^2/('SITE DATA'!$F$26+(0.8*G179))</f>
        <v>2.0833333333333304E-2</v>
      </c>
      <c r="I179" s="586">
        <f t="shared" si="7"/>
        <v>96</v>
      </c>
      <c r="J179" s="394">
        <f>('SITE DATA'!$F$27-(0.2*G179))^2/('SITE DATA'!$F$27+(0.8*G179))</f>
        <v>2.0833333333333304E-2</v>
      </c>
      <c r="K179" s="586">
        <f t="shared" si="8"/>
        <v>96</v>
      </c>
      <c r="L179" s="394">
        <f>('SITE DATA'!$F$28-(0.2*G179))^2/('SITE DATA'!$F$28+(0.8*G179))</f>
        <v>2.0833333333333304E-2</v>
      </c>
      <c r="M179" s="586">
        <f t="shared" si="9"/>
        <v>96</v>
      </c>
    </row>
    <row r="180" spans="2:14" hidden="1" x14ac:dyDescent="0.2">
      <c r="B180" s="397"/>
      <c r="C180" s="507"/>
      <c r="D180" s="507"/>
      <c r="E180" s="507"/>
      <c r="F180" s="507"/>
      <c r="G180" s="393">
        <f t="shared" si="6"/>
        <v>0.3092783505154646</v>
      </c>
      <c r="H180" s="394">
        <f>('SITE DATA'!$F$26-(0.2*G180))^2/('SITE DATA'!$F$26+(0.8*G180))</f>
        <v>1.5463917525773231E-2</v>
      </c>
      <c r="I180" s="586">
        <f t="shared" si="7"/>
        <v>97</v>
      </c>
      <c r="J180" s="394">
        <f>('SITE DATA'!$F$27-(0.2*G180))^2/('SITE DATA'!$F$27+(0.8*G180))</f>
        <v>1.5463917525773231E-2</v>
      </c>
      <c r="K180" s="586">
        <f t="shared" si="8"/>
        <v>97</v>
      </c>
      <c r="L180" s="394">
        <f>('SITE DATA'!$F$28-(0.2*G180))^2/('SITE DATA'!$F$28+(0.8*G180))</f>
        <v>1.5463917525773231E-2</v>
      </c>
      <c r="M180" s="586">
        <f t="shared" si="9"/>
        <v>97</v>
      </c>
    </row>
    <row r="181" spans="2:14" hidden="1" x14ac:dyDescent="0.2">
      <c r="B181" s="397"/>
      <c r="C181" s="507"/>
      <c r="D181" s="507"/>
      <c r="E181" s="507"/>
      <c r="F181" s="507"/>
      <c r="G181" s="393">
        <f t="shared" si="6"/>
        <v>0.20408163265306101</v>
      </c>
      <c r="H181" s="394">
        <f>('SITE DATA'!$F$26-(0.2*G181))^2/('SITE DATA'!$F$26+(0.8*G181))</f>
        <v>1.0204081632653052E-2</v>
      </c>
      <c r="I181" s="586">
        <f t="shared" si="7"/>
        <v>98</v>
      </c>
      <c r="J181" s="394">
        <f>('SITE DATA'!$F$27-(0.2*G181))^2/('SITE DATA'!$F$27+(0.8*G181))</f>
        <v>1.0204081632653052E-2</v>
      </c>
      <c r="K181" s="586">
        <f t="shared" si="8"/>
        <v>98</v>
      </c>
      <c r="L181" s="394">
        <f>('SITE DATA'!$F$28-(0.2*G181))^2/('SITE DATA'!$F$28+(0.8*G181))</f>
        <v>1.0204081632653052E-2</v>
      </c>
      <c r="M181" s="586">
        <f t="shared" si="9"/>
        <v>98</v>
      </c>
    </row>
    <row r="182" spans="2:14" hidden="1" x14ac:dyDescent="0.2">
      <c r="B182" s="397"/>
      <c r="C182" s="507"/>
      <c r="D182" s="507"/>
      <c r="E182" s="507"/>
      <c r="F182" s="507"/>
      <c r="G182" s="507"/>
      <c r="H182" s="507"/>
      <c r="I182" s="507"/>
      <c r="J182" s="507"/>
      <c r="K182" s="573"/>
      <c r="L182" s="507"/>
      <c r="M182" s="507"/>
      <c r="N182" s="507"/>
    </row>
    <row r="183" spans="2:14" hidden="1" x14ac:dyDescent="0.2">
      <c r="B183" s="397"/>
      <c r="C183" s="507"/>
      <c r="D183" s="507"/>
      <c r="E183" s="507"/>
      <c r="F183" s="507"/>
      <c r="G183" s="507"/>
      <c r="H183" s="507"/>
      <c r="I183" s="507"/>
      <c r="J183" s="507"/>
      <c r="K183" s="573"/>
      <c r="L183" s="507"/>
      <c r="M183" s="507"/>
      <c r="N183" s="507"/>
    </row>
    <row r="184" spans="2:14" hidden="1" x14ac:dyDescent="0.2">
      <c r="B184" s="397"/>
      <c r="C184" s="507"/>
      <c r="D184" s="507"/>
      <c r="E184" s="507"/>
      <c r="F184" s="507"/>
      <c r="G184" s="507"/>
      <c r="H184" s="507"/>
      <c r="I184" s="507"/>
      <c r="J184" s="507"/>
      <c r="K184" s="573"/>
      <c r="L184" s="507"/>
      <c r="M184" s="507"/>
      <c r="N184" s="507"/>
    </row>
    <row r="185" spans="2:14" hidden="1" x14ac:dyDescent="0.2">
      <c r="B185" s="397"/>
      <c r="C185" s="507"/>
      <c r="D185" s="507"/>
      <c r="E185" s="507"/>
      <c r="F185" s="507"/>
      <c r="G185" s="507"/>
      <c r="H185" s="507"/>
      <c r="I185" s="507"/>
      <c r="J185" s="507"/>
      <c r="K185" s="573"/>
      <c r="L185" s="507"/>
      <c r="M185" s="507"/>
      <c r="N185" s="507"/>
    </row>
    <row r="186" spans="2:14" hidden="1" x14ac:dyDescent="0.2">
      <c r="B186" s="397"/>
      <c r="C186" s="507"/>
      <c r="D186" s="507"/>
      <c r="E186" s="507"/>
      <c r="F186" s="507"/>
      <c r="G186" s="507"/>
      <c r="H186" s="507"/>
      <c r="I186" s="507"/>
      <c r="J186" s="507"/>
      <c r="K186" s="573"/>
      <c r="L186" s="507"/>
      <c r="M186" s="507"/>
      <c r="N186" s="507"/>
    </row>
    <row r="187" spans="2:14" hidden="1" x14ac:dyDescent="0.2">
      <c r="B187" s="397"/>
      <c r="C187" s="507"/>
      <c r="D187" s="507"/>
      <c r="E187" s="507"/>
      <c r="F187" s="507"/>
      <c r="G187" s="507"/>
      <c r="H187" s="507"/>
      <c r="I187" s="507"/>
      <c r="J187" s="507"/>
      <c r="K187" s="573"/>
      <c r="L187" s="507"/>
      <c r="M187" s="507"/>
      <c r="N187" s="507"/>
    </row>
    <row r="188" spans="2:14" hidden="1" x14ac:dyDescent="0.2">
      <c r="B188" s="397"/>
      <c r="C188" s="507"/>
      <c r="D188" s="507"/>
      <c r="E188" s="507"/>
      <c r="F188" s="507"/>
      <c r="G188" s="507"/>
      <c r="H188" s="507"/>
      <c r="I188" s="507"/>
      <c r="J188" s="507"/>
      <c r="K188" s="573"/>
      <c r="L188" s="507"/>
      <c r="M188" s="507"/>
      <c r="N188" s="507"/>
    </row>
    <row r="189" spans="2:14" hidden="1" x14ac:dyDescent="0.2">
      <c r="B189" s="397"/>
      <c r="C189" s="507"/>
      <c r="D189" s="507"/>
      <c r="E189" s="507"/>
      <c r="F189" s="507"/>
      <c r="G189" s="507"/>
      <c r="H189" s="507"/>
      <c r="I189" s="507"/>
      <c r="J189" s="507"/>
      <c r="K189" s="573"/>
      <c r="L189" s="507"/>
      <c r="M189" s="507"/>
      <c r="N189" s="507"/>
    </row>
    <row r="190" spans="2:14" hidden="1" x14ac:dyDescent="0.2">
      <c r="B190" s="397"/>
      <c r="C190" s="507"/>
      <c r="D190" s="507"/>
      <c r="E190" s="507"/>
      <c r="F190" s="507"/>
      <c r="G190" s="507"/>
      <c r="H190" s="507"/>
      <c r="I190" s="507"/>
      <c r="J190" s="507"/>
      <c r="K190" s="573"/>
      <c r="L190" s="507"/>
      <c r="M190" s="507"/>
      <c r="N190" s="507"/>
    </row>
    <row r="191" spans="2:14" hidden="1" x14ac:dyDescent="0.2">
      <c r="B191" s="397"/>
      <c r="C191" s="507"/>
      <c r="D191" s="507"/>
      <c r="E191" s="507"/>
      <c r="F191" s="507"/>
      <c r="G191" s="507"/>
      <c r="H191" s="507"/>
      <c r="I191" s="507"/>
      <c r="J191" s="507"/>
      <c r="K191" s="573"/>
      <c r="L191" s="507"/>
      <c r="M191" s="507"/>
      <c r="N191" s="507"/>
    </row>
    <row r="192" spans="2:14" hidden="1" x14ac:dyDescent="0.2">
      <c r="B192" s="397"/>
      <c r="C192" s="507"/>
      <c r="D192" s="507"/>
      <c r="E192" s="507"/>
      <c r="F192" s="507"/>
      <c r="G192" s="507"/>
      <c r="H192" s="507"/>
      <c r="I192" s="507"/>
      <c r="J192" s="507"/>
      <c r="K192" s="573"/>
      <c r="L192" s="507"/>
      <c r="M192" s="507"/>
      <c r="N192" s="507"/>
    </row>
    <row r="193" spans="1:27" hidden="1" x14ac:dyDescent="0.2">
      <c r="B193" s="397"/>
      <c r="C193" s="507"/>
      <c r="D193" s="507"/>
      <c r="E193" s="507"/>
      <c r="F193" s="507"/>
      <c r="G193" s="507"/>
      <c r="H193" s="507"/>
      <c r="I193" s="507"/>
      <c r="J193" s="507"/>
      <c r="K193" s="573"/>
      <c r="L193" s="507"/>
      <c r="M193" s="507"/>
      <c r="N193" s="507"/>
    </row>
    <row r="194" spans="1:27" hidden="1" x14ac:dyDescent="0.2">
      <c r="B194" s="397"/>
      <c r="C194" s="507"/>
      <c r="D194" s="507"/>
      <c r="E194" s="507"/>
      <c r="F194" s="507"/>
      <c r="G194" s="507"/>
      <c r="H194" s="507"/>
      <c r="I194" s="507"/>
      <c r="J194" s="507"/>
      <c r="K194" s="573"/>
      <c r="L194" s="507"/>
      <c r="M194" s="507"/>
      <c r="N194" s="507"/>
    </row>
    <row r="195" spans="1:27" hidden="1" x14ac:dyDescent="0.2">
      <c r="B195" s="397"/>
      <c r="C195" s="507"/>
      <c r="D195" s="507"/>
      <c r="E195" s="507"/>
      <c r="F195" s="507"/>
      <c r="G195" s="507"/>
      <c r="H195" s="507"/>
      <c r="I195" s="507"/>
      <c r="J195" s="507"/>
      <c r="K195" s="573"/>
      <c r="L195" s="507"/>
      <c r="M195" s="507"/>
      <c r="N195" s="507"/>
    </row>
    <row r="196" spans="1:27" hidden="1" x14ac:dyDescent="0.2">
      <c r="B196" s="397"/>
      <c r="C196" s="507"/>
      <c r="D196" s="507"/>
      <c r="E196" s="507"/>
      <c r="F196" s="507"/>
      <c r="G196" s="507"/>
      <c r="H196" s="507"/>
      <c r="I196" s="507"/>
      <c r="J196" s="507"/>
      <c r="K196" s="573"/>
      <c r="L196" s="507"/>
      <c r="M196" s="507"/>
      <c r="N196" s="507"/>
    </row>
    <row r="197" spans="1:27" hidden="1" x14ac:dyDescent="0.2">
      <c r="B197" s="507"/>
      <c r="C197" s="507"/>
      <c r="D197" s="507"/>
      <c r="E197" s="507"/>
      <c r="F197" s="507"/>
      <c r="G197" s="507"/>
      <c r="H197" s="507"/>
      <c r="I197" s="507"/>
      <c r="J197" s="507"/>
      <c r="K197" s="573"/>
      <c r="L197" s="507"/>
      <c r="M197" s="507"/>
      <c r="N197" s="507"/>
    </row>
    <row r="198" spans="1:27" hidden="1" x14ac:dyDescent="0.2">
      <c r="B198" s="507"/>
      <c r="C198" s="507"/>
      <c r="D198" s="507"/>
      <c r="E198" s="507"/>
      <c r="F198" s="507"/>
      <c r="G198" s="507"/>
      <c r="H198" s="507"/>
      <c r="I198" s="507"/>
      <c r="J198" s="507"/>
      <c r="K198" s="573"/>
      <c r="L198" s="507"/>
      <c r="M198" s="507"/>
      <c r="N198" s="507"/>
    </row>
    <row r="199" spans="1:27" hidden="1" x14ac:dyDescent="0.2">
      <c r="B199" s="507"/>
      <c r="C199" s="507"/>
      <c r="D199" s="507"/>
      <c r="E199" s="507"/>
      <c r="F199" s="507"/>
      <c r="G199" s="507"/>
      <c r="H199" s="507"/>
      <c r="I199" s="507"/>
      <c r="J199" s="507"/>
      <c r="K199" s="573"/>
      <c r="L199" s="507"/>
      <c r="M199" s="507"/>
      <c r="N199" s="507"/>
    </row>
    <row r="200" spans="1:27" hidden="1" x14ac:dyDescent="0.2">
      <c r="B200" s="507"/>
      <c r="C200" s="507"/>
      <c r="D200" s="507"/>
      <c r="E200" s="507"/>
      <c r="F200" s="507"/>
      <c r="G200" s="507"/>
      <c r="H200" s="507"/>
      <c r="I200" s="507"/>
      <c r="J200" s="507"/>
      <c r="K200" s="573"/>
      <c r="L200" s="507"/>
      <c r="M200" s="507"/>
      <c r="N200" s="507"/>
    </row>
    <row r="201" spans="1:27" hidden="1" x14ac:dyDescent="0.2">
      <c r="B201" s="507"/>
      <c r="C201" s="507"/>
      <c r="D201" s="507"/>
      <c r="E201" s="507"/>
      <c r="F201" s="507"/>
      <c r="G201" s="507"/>
      <c r="H201" s="507"/>
      <c r="I201" s="507"/>
      <c r="J201" s="507"/>
      <c r="K201" s="573"/>
      <c r="L201" s="507"/>
      <c r="M201" s="507"/>
      <c r="N201" s="507"/>
    </row>
    <row r="202" spans="1:27" hidden="1" x14ac:dyDescent="0.2">
      <c r="B202" s="507"/>
      <c r="C202" s="507"/>
      <c r="D202" s="507"/>
      <c r="E202" s="507"/>
      <c r="F202" s="507"/>
      <c r="G202" s="507"/>
      <c r="H202" s="507"/>
      <c r="I202" s="507"/>
      <c r="J202" s="507"/>
      <c r="K202" s="573"/>
      <c r="L202" s="507"/>
      <c r="M202" s="507"/>
      <c r="N202" s="507"/>
    </row>
    <row r="203" spans="1:27" hidden="1" x14ac:dyDescent="0.2">
      <c r="B203" s="507"/>
      <c r="C203" s="507"/>
      <c r="D203" s="507"/>
      <c r="E203" s="507"/>
      <c r="F203" s="507"/>
      <c r="G203" s="507"/>
      <c r="H203" s="507"/>
      <c r="I203" s="507"/>
      <c r="J203" s="507"/>
      <c r="K203" s="573"/>
      <c r="L203" s="507"/>
      <c r="M203" s="507"/>
      <c r="N203" s="507"/>
    </row>
    <row r="204" spans="1:27" hidden="1" x14ac:dyDescent="0.2">
      <c r="B204" s="507"/>
      <c r="C204" s="507"/>
      <c r="D204" s="507"/>
      <c r="E204" s="507"/>
      <c r="F204" s="507"/>
      <c r="G204" s="507"/>
      <c r="H204" s="507"/>
      <c r="I204" s="507"/>
      <c r="J204" s="507"/>
      <c r="K204" s="573"/>
      <c r="L204" s="507"/>
      <c r="M204" s="507"/>
      <c r="N204" s="507"/>
    </row>
    <row r="205" spans="1:27" hidden="1" x14ac:dyDescent="0.2">
      <c r="B205" s="507"/>
      <c r="C205" s="507"/>
      <c r="D205" s="507"/>
      <c r="E205" s="507"/>
      <c r="F205" s="507"/>
      <c r="G205" s="507"/>
      <c r="H205" s="507"/>
      <c r="I205" s="507"/>
      <c r="J205" s="507"/>
      <c r="K205" s="573"/>
      <c r="L205" s="507"/>
      <c r="M205" s="507"/>
      <c r="N205" s="507"/>
    </row>
    <row r="206" spans="1:27" ht="15.75" hidden="1" x14ac:dyDescent="0.2">
      <c r="B206" s="576"/>
      <c r="C206" s="576"/>
      <c r="D206" s="576"/>
      <c r="E206" s="576"/>
      <c r="F206" s="577"/>
      <c r="G206" s="577"/>
      <c r="H206" s="577"/>
      <c r="I206" s="577"/>
      <c r="J206" s="577"/>
      <c r="K206" s="577"/>
      <c r="L206" s="577"/>
      <c r="M206" s="577"/>
      <c r="N206" s="507"/>
      <c r="Z206" s="507"/>
      <c r="AA206" s="507"/>
    </row>
    <row r="207" spans="1:27" s="523" customFormat="1" x14ac:dyDescent="0.2">
      <c r="A207" s="737" t="s">
        <v>449</v>
      </c>
      <c r="B207" s="737"/>
      <c r="C207" s="737"/>
      <c r="D207" s="737"/>
      <c r="E207" s="737"/>
      <c r="F207" s="737"/>
      <c r="G207" s="737"/>
      <c r="H207" s="737"/>
      <c r="I207" s="737"/>
      <c r="J207" s="737"/>
      <c r="K207" s="737"/>
      <c r="L207" s="737"/>
      <c r="M207" s="507"/>
    </row>
    <row r="208" spans="1:27" x14ac:dyDescent="0.2">
      <c r="A208" s="737"/>
      <c r="B208" s="737"/>
      <c r="C208" s="737"/>
      <c r="D208" s="737"/>
      <c r="E208" s="737"/>
      <c r="F208" s="737"/>
      <c r="G208" s="737"/>
      <c r="H208" s="737"/>
      <c r="I208" s="737"/>
      <c r="J208" s="737"/>
      <c r="K208" s="737"/>
      <c r="L208" s="737"/>
      <c r="M208" s="507"/>
      <c r="N208" s="507"/>
      <c r="Z208" s="507"/>
    </row>
    <row r="209" spans="1:26" ht="15.75" x14ac:dyDescent="0.2">
      <c r="A209" s="738" t="s">
        <v>436</v>
      </c>
      <c r="B209" s="738"/>
      <c r="C209" s="738"/>
      <c r="D209" s="738"/>
      <c r="E209" s="738"/>
      <c r="F209" s="738"/>
      <c r="G209" s="738"/>
      <c r="H209" s="738"/>
      <c r="I209" s="738"/>
      <c r="J209" s="738"/>
      <c r="K209" s="738"/>
      <c r="L209" s="738"/>
      <c r="M209" s="507"/>
      <c r="N209" s="507"/>
      <c r="Z209" s="507"/>
    </row>
    <row r="210" spans="1:26" x14ac:dyDescent="0.2">
      <c r="A210" s="737" t="s">
        <v>450</v>
      </c>
      <c r="B210" s="737"/>
      <c r="C210" s="737"/>
      <c r="D210" s="737"/>
      <c r="E210" s="737"/>
      <c r="F210" s="737"/>
      <c r="G210" s="737"/>
      <c r="H210" s="737"/>
      <c r="I210" s="737"/>
      <c r="J210" s="737"/>
      <c r="K210" s="737"/>
      <c r="L210" s="737"/>
      <c r="M210" s="507"/>
      <c r="N210" s="507"/>
      <c r="Z210" s="507"/>
    </row>
    <row r="211" spans="1:26" x14ac:dyDescent="0.2">
      <c r="A211" s="737"/>
      <c r="B211" s="737"/>
      <c r="C211" s="737"/>
      <c r="D211" s="737"/>
      <c r="E211" s="737"/>
      <c r="F211" s="737"/>
      <c r="G211" s="737"/>
      <c r="H211" s="737"/>
      <c r="I211" s="737"/>
      <c r="J211" s="737"/>
      <c r="K211" s="737"/>
      <c r="L211" s="737"/>
      <c r="M211" s="507"/>
      <c r="N211" s="507"/>
      <c r="Z211" s="507"/>
    </row>
    <row r="212" spans="1:26" ht="15.75" x14ac:dyDescent="0.2">
      <c r="A212" s="738" t="s">
        <v>436</v>
      </c>
      <c r="B212" s="738"/>
      <c r="C212" s="738"/>
      <c r="D212" s="738"/>
      <c r="E212" s="738"/>
      <c r="F212" s="738"/>
      <c r="G212" s="738"/>
      <c r="H212" s="738"/>
      <c r="I212" s="738"/>
      <c r="J212" s="738"/>
      <c r="K212" s="738"/>
      <c r="L212" s="738"/>
      <c r="M212" s="507"/>
      <c r="N212" s="507"/>
      <c r="Z212" s="507"/>
    </row>
    <row r="213" spans="1:26" x14ac:dyDescent="0.2">
      <c r="A213" s="737" t="s">
        <v>451</v>
      </c>
      <c r="B213" s="737"/>
      <c r="C213" s="737"/>
      <c r="D213" s="737"/>
      <c r="E213" s="737"/>
      <c r="F213" s="737"/>
      <c r="G213" s="737"/>
      <c r="H213" s="737"/>
      <c r="I213" s="737"/>
      <c r="J213" s="737"/>
      <c r="K213" s="737"/>
      <c r="L213" s="737"/>
      <c r="M213" s="507"/>
      <c r="N213" s="507"/>
      <c r="Z213" s="507"/>
    </row>
    <row r="214" spans="1:26" x14ac:dyDescent="0.2">
      <c r="A214" s="737"/>
      <c r="B214" s="737"/>
      <c r="C214" s="737"/>
      <c r="D214" s="737"/>
      <c r="E214" s="737"/>
      <c r="F214" s="737"/>
      <c r="G214" s="737"/>
      <c r="H214" s="737"/>
      <c r="I214" s="737"/>
      <c r="J214" s="737"/>
      <c r="K214" s="737"/>
      <c r="L214" s="737"/>
      <c r="M214" s="507"/>
      <c r="N214" s="507"/>
      <c r="Z214" s="507"/>
    </row>
    <row r="215" spans="1:26" x14ac:dyDescent="0.2">
      <c r="B215" s="507"/>
      <c r="C215" s="507"/>
      <c r="D215" s="507"/>
      <c r="E215" s="507"/>
      <c r="F215" s="507"/>
      <c r="G215" s="507"/>
      <c r="H215" s="507"/>
      <c r="I215" s="507"/>
      <c r="J215" s="507"/>
      <c r="K215" s="573"/>
      <c r="L215" s="507"/>
      <c r="M215" s="507"/>
      <c r="N215" s="507"/>
    </row>
    <row r="216" spans="1:26" x14ac:dyDescent="0.2">
      <c r="B216" s="507"/>
      <c r="C216" s="507"/>
      <c r="D216" s="507"/>
      <c r="E216" s="507"/>
      <c r="F216" s="507"/>
      <c r="G216" s="507"/>
      <c r="H216" s="507"/>
      <c r="I216" s="507"/>
      <c r="J216" s="507"/>
      <c r="K216" s="573"/>
      <c r="L216" s="507"/>
      <c r="M216" s="507"/>
      <c r="N216" s="507"/>
    </row>
    <row r="217" spans="1:26" x14ac:dyDescent="0.2">
      <c r="B217" s="507"/>
      <c r="C217" s="507"/>
      <c r="D217" s="507"/>
      <c r="E217" s="507"/>
      <c r="F217" s="507"/>
      <c r="G217" s="507"/>
      <c r="H217" s="507"/>
      <c r="I217" s="507"/>
      <c r="J217" s="507"/>
      <c r="K217" s="573"/>
      <c r="L217" s="507"/>
      <c r="M217" s="507"/>
      <c r="N217" s="507"/>
    </row>
    <row r="218" spans="1:26" x14ac:dyDescent="0.2">
      <c r="B218" s="507"/>
      <c r="C218" s="507"/>
      <c r="D218" s="507"/>
      <c r="E218" s="507"/>
      <c r="F218" s="507"/>
      <c r="G218" s="507"/>
      <c r="H218" s="507"/>
      <c r="I218" s="507"/>
      <c r="J218" s="507"/>
      <c r="K218" s="573"/>
      <c r="L218" s="507"/>
      <c r="M218" s="507"/>
      <c r="N218" s="507"/>
    </row>
    <row r="219" spans="1:26" x14ac:dyDescent="0.2">
      <c r="B219" s="507"/>
      <c r="C219" s="507"/>
      <c r="D219" s="507"/>
      <c r="E219" s="507"/>
      <c r="F219" s="507"/>
      <c r="G219" s="507"/>
      <c r="H219" s="507"/>
      <c r="I219" s="507"/>
      <c r="J219" s="507"/>
      <c r="K219" s="573"/>
      <c r="L219" s="507"/>
      <c r="M219" s="507"/>
      <c r="N219" s="507"/>
    </row>
    <row r="220" spans="1:26" x14ac:dyDescent="0.2">
      <c r="B220" s="507"/>
      <c r="C220" s="507"/>
      <c r="D220" s="507"/>
      <c r="E220" s="507"/>
      <c r="F220" s="507"/>
      <c r="G220" s="507"/>
      <c r="H220" s="507"/>
      <c r="I220" s="507"/>
      <c r="J220" s="507"/>
      <c r="K220" s="573"/>
      <c r="L220" s="507"/>
      <c r="M220" s="507"/>
      <c r="N220" s="507"/>
    </row>
    <row r="221" spans="1:26" x14ac:dyDescent="0.2">
      <c r="B221" s="507"/>
      <c r="C221" s="507"/>
      <c r="D221" s="507"/>
      <c r="E221" s="507"/>
      <c r="F221" s="507"/>
      <c r="G221" s="507"/>
      <c r="H221" s="507"/>
      <c r="I221" s="507"/>
      <c r="J221" s="507"/>
      <c r="K221" s="573"/>
      <c r="L221" s="507"/>
      <c r="M221" s="507"/>
      <c r="N221" s="507"/>
    </row>
    <row r="222" spans="1:26" x14ac:dyDescent="0.2">
      <c r="B222" s="507"/>
      <c r="C222" s="507"/>
      <c r="D222" s="507"/>
      <c r="E222" s="507"/>
      <c r="F222" s="507"/>
      <c r="G222" s="507"/>
      <c r="H222" s="507"/>
      <c r="I222" s="507"/>
      <c r="J222" s="507"/>
      <c r="K222" s="573"/>
      <c r="L222" s="507"/>
      <c r="M222" s="507"/>
      <c r="N222" s="507"/>
    </row>
    <row r="223" spans="1:26" x14ac:dyDescent="0.2">
      <c r="B223" s="507"/>
      <c r="C223" s="507"/>
      <c r="D223" s="507"/>
      <c r="E223" s="507"/>
      <c r="F223" s="507"/>
      <c r="G223" s="507"/>
      <c r="H223" s="507"/>
      <c r="I223" s="507"/>
      <c r="J223" s="507"/>
      <c r="K223" s="573"/>
      <c r="L223" s="507"/>
      <c r="M223" s="507"/>
      <c r="N223" s="507"/>
    </row>
    <row r="224" spans="1:26" x14ac:dyDescent="0.2">
      <c r="B224" s="507"/>
      <c r="C224" s="507"/>
      <c r="D224" s="507"/>
      <c r="E224" s="507"/>
      <c r="F224" s="507"/>
      <c r="G224" s="507"/>
      <c r="H224" s="507"/>
      <c r="I224" s="507"/>
      <c r="J224" s="507"/>
      <c r="K224" s="573"/>
      <c r="L224" s="507"/>
      <c r="M224" s="507"/>
      <c r="N224" s="507"/>
    </row>
    <row r="225" spans="2:14" x14ac:dyDescent="0.2">
      <c r="B225" s="507"/>
      <c r="C225" s="507"/>
      <c r="D225" s="507"/>
      <c r="E225" s="507"/>
      <c r="F225" s="507"/>
      <c r="G225" s="507"/>
      <c r="H225" s="507"/>
      <c r="I225" s="507"/>
      <c r="J225" s="507"/>
      <c r="K225" s="573"/>
      <c r="L225" s="507"/>
      <c r="M225" s="507"/>
      <c r="N225" s="507"/>
    </row>
    <row r="226" spans="2:14" x14ac:dyDescent="0.2">
      <c r="B226" s="507"/>
      <c r="C226" s="507"/>
      <c r="D226" s="507"/>
      <c r="E226" s="507"/>
      <c r="F226" s="507"/>
      <c r="G226" s="507"/>
      <c r="H226" s="507"/>
      <c r="I226" s="507"/>
      <c r="J226" s="507"/>
      <c r="K226" s="573"/>
      <c r="L226" s="507"/>
      <c r="M226" s="507"/>
      <c r="N226" s="507"/>
    </row>
    <row r="227" spans="2:14" x14ac:dyDescent="0.2">
      <c r="B227" s="507"/>
      <c r="C227" s="507"/>
      <c r="D227" s="507"/>
      <c r="E227" s="507"/>
      <c r="F227" s="507"/>
      <c r="G227" s="507"/>
      <c r="H227" s="507"/>
      <c r="I227" s="507"/>
      <c r="J227" s="507"/>
      <c r="K227" s="573"/>
      <c r="L227" s="507"/>
      <c r="M227" s="507"/>
      <c r="N227" s="507"/>
    </row>
    <row r="228" spans="2:14" x14ac:dyDescent="0.2">
      <c r="B228" s="507"/>
      <c r="C228" s="507"/>
      <c r="D228" s="507"/>
      <c r="E228" s="507"/>
      <c r="F228" s="507"/>
      <c r="G228" s="507"/>
      <c r="H228" s="507"/>
      <c r="I228" s="507"/>
      <c r="J228" s="507"/>
      <c r="K228" s="573"/>
      <c r="L228" s="507"/>
      <c r="M228" s="507"/>
      <c r="N228" s="507"/>
    </row>
    <row r="229" spans="2:14" x14ac:dyDescent="0.2">
      <c r="B229" s="507"/>
      <c r="C229" s="507"/>
      <c r="D229" s="507"/>
      <c r="E229" s="507"/>
      <c r="F229" s="507"/>
      <c r="G229" s="507"/>
      <c r="H229" s="507"/>
      <c r="I229" s="507"/>
      <c r="J229" s="507"/>
      <c r="K229" s="573"/>
      <c r="L229" s="507"/>
      <c r="M229" s="507"/>
      <c r="N229" s="507"/>
    </row>
    <row r="230" spans="2:14" x14ac:dyDescent="0.2">
      <c r="B230" s="507"/>
      <c r="C230" s="507"/>
      <c r="D230" s="507"/>
      <c r="E230" s="507"/>
      <c r="F230" s="507"/>
      <c r="G230" s="507"/>
      <c r="H230" s="507"/>
      <c r="I230" s="507"/>
      <c r="J230" s="507"/>
      <c r="K230" s="573"/>
      <c r="L230" s="507"/>
      <c r="M230" s="507"/>
      <c r="N230" s="507"/>
    </row>
    <row r="231" spans="2:14" x14ac:dyDescent="0.2">
      <c r="B231" s="507"/>
      <c r="C231" s="507"/>
      <c r="D231" s="507"/>
      <c r="E231" s="507"/>
      <c r="F231" s="507"/>
      <c r="G231" s="507"/>
      <c r="H231" s="507"/>
      <c r="I231" s="507"/>
      <c r="J231" s="507"/>
      <c r="K231" s="573"/>
      <c r="L231" s="507"/>
      <c r="M231" s="507"/>
      <c r="N231" s="507"/>
    </row>
    <row r="232" spans="2:14" x14ac:dyDescent="0.2">
      <c r="B232" s="507"/>
      <c r="C232" s="507"/>
      <c r="D232" s="507"/>
      <c r="E232" s="507"/>
      <c r="F232" s="507"/>
      <c r="G232" s="507"/>
      <c r="H232" s="507"/>
      <c r="I232" s="507"/>
      <c r="J232" s="507"/>
      <c r="K232" s="573"/>
      <c r="L232" s="507"/>
      <c r="M232" s="507"/>
      <c r="N232" s="507"/>
    </row>
    <row r="233" spans="2:14" s="507" customFormat="1" x14ac:dyDescent="0.2">
      <c r="K233" s="573"/>
    </row>
    <row r="234" spans="2:14" s="507" customFormat="1" x14ac:dyDescent="0.2">
      <c r="K234" s="573"/>
    </row>
    <row r="235" spans="2:14" s="507" customFormat="1" x14ac:dyDescent="0.2">
      <c r="K235" s="573"/>
    </row>
    <row r="236" spans="2:14" s="507" customFormat="1" x14ac:dyDescent="0.2">
      <c r="K236" s="573"/>
    </row>
    <row r="237" spans="2:14" s="507" customFormat="1" x14ac:dyDescent="0.2">
      <c r="K237" s="573"/>
    </row>
    <row r="238" spans="2:14" s="507" customFormat="1" x14ac:dyDescent="0.2">
      <c r="K238" s="573"/>
    </row>
    <row r="239" spans="2:14" s="507" customFormat="1" x14ac:dyDescent="0.2">
      <c r="K239" s="573"/>
    </row>
    <row r="240" spans="2:14" s="507" customFormat="1" x14ac:dyDescent="0.2">
      <c r="K240" s="573"/>
    </row>
    <row r="241" spans="11:11" s="507" customFormat="1" x14ac:dyDescent="0.2">
      <c r="K241" s="573"/>
    </row>
    <row r="242" spans="11:11" s="507" customFormat="1" x14ac:dyDescent="0.2">
      <c r="K242" s="573"/>
    </row>
    <row r="243" spans="11:11" s="507" customFormat="1" x14ac:dyDescent="0.2">
      <c r="K243" s="573"/>
    </row>
    <row r="244" spans="11:11" s="507" customFormat="1" x14ac:dyDescent="0.2">
      <c r="K244" s="573"/>
    </row>
    <row r="245" spans="11:11" s="507" customFormat="1" x14ac:dyDescent="0.2">
      <c r="K245" s="573"/>
    </row>
    <row r="246" spans="11:11" s="507" customFormat="1" x14ac:dyDescent="0.2">
      <c r="K246" s="573"/>
    </row>
    <row r="247" spans="11:11" s="507" customFormat="1" x14ac:dyDescent="0.2">
      <c r="K247" s="573"/>
    </row>
    <row r="248" spans="11:11" s="507" customFormat="1" x14ac:dyDescent="0.2">
      <c r="K248" s="573"/>
    </row>
    <row r="249" spans="11:11" s="507" customFormat="1" x14ac:dyDescent="0.2">
      <c r="K249" s="573"/>
    </row>
    <row r="250" spans="11:11" s="507" customFormat="1" x14ac:dyDescent="0.2">
      <c r="K250" s="573"/>
    </row>
    <row r="251" spans="11:11" s="507" customFormat="1" x14ac:dyDescent="0.2">
      <c r="K251" s="573"/>
    </row>
    <row r="252" spans="11:11" s="507" customFormat="1" x14ac:dyDescent="0.2">
      <c r="K252" s="573"/>
    </row>
    <row r="253" spans="11:11" s="507" customFormat="1" x14ac:dyDescent="0.2">
      <c r="K253" s="573"/>
    </row>
    <row r="254" spans="11:11" s="507" customFormat="1" x14ac:dyDescent="0.2">
      <c r="K254" s="573"/>
    </row>
    <row r="255" spans="11:11" s="507" customFormat="1" x14ac:dyDescent="0.2">
      <c r="K255" s="573"/>
    </row>
    <row r="256" spans="11:11" s="507" customFormat="1" x14ac:dyDescent="0.2">
      <c r="K256" s="573"/>
    </row>
    <row r="257" spans="11:11" s="507" customFormat="1" x14ac:dyDescent="0.2">
      <c r="K257" s="573"/>
    </row>
    <row r="258" spans="11:11" s="507" customFormat="1" x14ac:dyDescent="0.2">
      <c r="K258" s="573"/>
    </row>
    <row r="259" spans="11:11" s="507" customFormat="1" x14ac:dyDescent="0.2">
      <c r="K259" s="573"/>
    </row>
    <row r="260" spans="11:11" s="507" customFormat="1" x14ac:dyDescent="0.2">
      <c r="K260" s="573"/>
    </row>
    <row r="261" spans="11:11" s="507" customFormat="1" x14ac:dyDescent="0.2">
      <c r="K261" s="573"/>
    </row>
    <row r="262" spans="11:11" s="507" customFormat="1" x14ac:dyDescent="0.2">
      <c r="K262" s="573"/>
    </row>
    <row r="263" spans="11:11" s="507" customFormat="1" x14ac:dyDescent="0.2">
      <c r="K263" s="573"/>
    </row>
    <row r="264" spans="11:11" s="507" customFormat="1" x14ac:dyDescent="0.2">
      <c r="K264" s="573"/>
    </row>
    <row r="265" spans="11:11" s="507" customFormat="1" x14ac:dyDescent="0.2">
      <c r="K265" s="573"/>
    </row>
    <row r="266" spans="11:11" s="507" customFormat="1" x14ac:dyDescent="0.2">
      <c r="K266" s="573"/>
    </row>
    <row r="267" spans="11:11" s="507" customFormat="1" x14ac:dyDescent="0.2">
      <c r="K267" s="573"/>
    </row>
    <row r="268" spans="11:11" s="507" customFormat="1" x14ac:dyDescent="0.2">
      <c r="K268" s="573"/>
    </row>
    <row r="269" spans="11:11" s="507" customFormat="1" x14ac:dyDescent="0.2">
      <c r="K269" s="573"/>
    </row>
    <row r="270" spans="11:11" s="507" customFormat="1" x14ac:dyDescent="0.2">
      <c r="K270" s="573"/>
    </row>
    <row r="271" spans="11:11" s="507" customFormat="1" x14ac:dyDescent="0.2">
      <c r="K271" s="573"/>
    </row>
    <row r="272" spans="11:11" s="507" customFormat="1" x14ac:dyDescent="0.2">
      <c r="K272" s="573"/>
    </row>
    <row r="273" spans="11:11" s="507" customFormat="1" x14ac:dyDescent="0.2">
      <c r="K273" s="573"/>
    </row>
    <row r="274" spans="11:11" s="507" customFormat="1" x14ac:dyDescent="0.2">
      <c r="K274" s="573"/>
    </row>
    <row r="275" spans="11:11" s="507" customFormat="1" x14ac:dyDescent="0.2">
      <c r="K275" s="573"/>
    </row>
    <row r="276" spans="11:11" s="507" customFormat="1" x14ac:dyDescent="0.2">
      <c r="K276" s="573"/>
    </row>
    <row r="277" spans="11:11" s="507" customFormat="1" x14ac:dyDescent="0.2">
      <c r="K277" s="573"/>
    </row>
    <row r="278" spans="11:11" s="507" customFormat="1" x14ac:dyDescent="0.2">
      <c r="K278" s="573"/>
    </row>
    <row r="279" spans="11:11" s="507" customFormat="1" x14ac:dyDescent="0.2">
      <c r="K279" s="573"/>
    </row>
    <row r="280" spans="11:11" s="507" customFormat="1" x14ac:dyDescent="0.2">
      <c r="K280" s="573"/>
    </row>
    <row r="281" spans="11:11" s="507" customFormat="1" x14ac:dyDescent="0.2">
      <c r="K281" s="573"/>
    </row>
    <row r="282" spans="11:11" s="507" customFormat="1" x14ac:dyDescent="0.2">
      <c r="K282" s="573"/>
    </row>
    <row r="283" spans="11:11" s="507" customFormat="1" x14ac:dyDescent="0.2">
      <c r="K283" s="573"/>
    </row>
    <row r="284" spans="11:11" s="507" customFormat="1" x14ac:dyDescent="0.2">
      <c r="K284" s="573"/>
    </row>
    <row r="285" spans="11:11" s="507" customFormat="1" x14ac:dyDescent="0.2">
      <c r="K285" s="573"/>
    </row>
    <row r="286" spans="11:11" s="507" customFormat="1" x14ac:dyDescent="0.2">
      <c r="K286" s="573"/>
    </row>
    <row r="287" spans="11:11" s="507" customFormat="1" x14ac:dyDescent="0.2">
      <c r="K287" s="573"/>
    </row>
    <row r="288" spans="11:11" s="507" customFormat="1" x14ac:dyDescent="0.2">
      <c r="K288" s="573"/>
    </row>
    <row r="289" spans="11:11" s="507" customFormat="1" x14ac:dyDescent="0.2">
      <c r="K289" s="573"/>
    </row>
    <row r="290" spans="11:11" s="507" customFormat="1" x14ac:dyDescent="0.2">
      <c r="K290" s="573"/>
    </row>
    <row r="291" spans="11:11" s="507" customFormat="1" x14ac:dyDescent="0.2">
      <c r="K291" s="573"/>
    </row>
    <row r="292" spans="11:11" s="507" customFormat="1" x14ac:dyDescent="0.2">
      <c r="K292" s="573"/>
    </row>
    <row r="293" spans="11:11" s="507" customFormat="1" x14ac:dyDescent="0.2">
      <c r="K293" s="573"/>
    </row>
    <row r="294" spans="11:11" s="507" customFormat="1" x14ac:dyDescent="0.2">
      <c r="K294" s="573"/>
    </row>
    <row r="295" spans="11:11" s="507" customFormat="1" x14ac:dyDescent="0.2">
      <c r="K295" s="573"/>
    </row>
    <row r="296" spans="11:11" s="507" customFormat="1" x14ac:dyDescent="0.2">
      <c r="K296" s="573"/>
    </row>
    <row r="297" spans="11:11" s="507" customFormat="1" x14ac:dyDescent="0.2">
      <c r="K297" s="573"/>
    </row>
    <row r="298" spans="11:11" s="507" customFormat="1" x14ac:dyDescent="0.2">
      <c r="K298" s="573"/>
    </row>
    <row r="299" spans="11:11" s="507" customFormat="1" x14ac:dyDescent="0.2">
      <c r="K299" s="573"/>
    </row>
    <row r="300" spans="11:11" s="507" customFormat="1" x14ac:dyDescent="0.2">
      <c r="K300" s="573"/>
    </row>
    <row r="301" spans="11:11" s="507" customFormat="1" x14ac:dyDescent="0.2">
      <c r="K301" s="573"/>
    </row>
    <row r="302" spans="11:11" s="507" customFormat="1" x14ac:dyDescent="0.2">
      <c r="K302" s="573"/>
    </row>
    <row r="303" spans="11:11" s="507" customFormat="1" x14ac:dyDescent="0.2">
      <c r="K303" s="573"/>
    </row>
    <row r="304" spans="11:11" s="507" customFormat="1" x14ac:dyDescent="0.2">
      <c r="K304" s="573"/>
    </row>
    <row r="305" spans="11:11" s="507" customFormat="1" x14ac:dyDescent="0.2">
      <c r="K305" s="573"/>
    </row>
    <row r="306" spans="11:11" s="507" customFormat="1" x14ac:dyDescent="0.2">
      <c r="K306" s="573"/>
    </row>
    <row r="307" spans="11:11" s="507" customFormat="1" x14ac:dyDescent="0.2">
      <c r="K307" s="573"/>
    </row>
    <row r="308" spans="11:11" s="507" customFormat="1" x14ac:dyDescent="0.2">
      <c r="K308" s="573"/>
    </row>
    <row r="309" spans="11:11" s="507" customFormat="1" x14ac:dyDescent="0.2">
      <c r="K309" s="573"/>
    </row>
    <row r="310" spans="11:11" s="507" customFormat="1" x14ac:dyDescent="0.2">
      <c r="K310" s="573"/>
    </row>
    <row r="311" spans="11:11" s="507" customFormat="1" x14ac:dyDescent="0.2">
      <c r="K311" s="573"/>
    </row>
    <row r="312" spans="11:11" s="507" customFormat="1" x14ac:dyDescent="0.2">
      <c r="K312" s="573"/>
    </row>
    <row r="313" spans="11:11" s="507" customFormat="1" x14ac:dyDescent="0.2">
      <c r="K313" s="573"/>
    </row>
    <row r="314" spans="11:11" s="507" customFormat="1" x14ac:dyDescent="0.2">
      <c r="K314" s="573"/>
    </row>
    <row r="315" spans="11:11" s="507" customFormat="1" x14ac:dyDescent="0.2">
      <c r="K315" s="573"/>
    </row>
    <row r="316" spans="11:11" s="507" customFormat="1" x14ac:dyDescent="0.2">
      <c r="K316" s="573"/>
    </row>
    <row r="317" spans="11:11" s="507" customFormat="1" x14ac:dyDescent="0.2">
      <c r="K317" s="573"/>
    </row>
    <row r="318" spans="11:11" s="507" customFormat="1" x14ac:dyDescent="0.2">
      <c r="K318" s="573"/>
    </row>
    <row r="319" spans="11:11" s="507" customFormat="1" x14ac:dyDescent="0.2">
      <c r="K319" s="573"/>
    </row>
    <row r="320" spans="11:11" s="507" customFormat="1" x14ac:dyDescent="0.2">
      <c r="K320" s="573"/>
    </row>
    <row r="321" spans="11:11" s="507" customFormat="1" x14ac:dyDescent="0.2">
      <c r="K321" s="573"/>
    </row>
    <row r="322" spans="11:11" s="507" customFormat="1" x14ac:dyDescent="0.2">
      <c r="K322" s="573"/>
    </row>
    <row r="323" spans="11:11" s="507" customFormat="1" x14ac:dyDescent="0.2">
      <c r="K323" s="573"/>
    </row>
    <row r="324" spans="11:11" s="507" customFormat="1" x14ac:dyDescent="0.2">
      <c r="K324" s="573"/>
    </row>
    <row r="325" spans="11:11" s="507" customFormat="1" x14ac:dyDescent="0.2">
      <c r="K325" s="573"/>
    </row>
    <row r="326" spans="11:11" s="507" customFormat="1" x14ac:dyDescent="0.2">
      <c r="K326" s="573"/>
    </row>
    <row r="327" spans="11:11" s="507" customFormat="1" x14ac:dyDescent="0.2">
      <c r="K327" s="573"/>
    </row>
    <row r="328" spans="11:11" s="507" customFormat="1" x14ac:dyDescent="0.2">
      <c r="K328" s="573"/>
    </row>
    <row r="329" spans="11:11" s="507" customFormat="1" x14ac:dyDescent="0.2">
      <c r="K329" s="573"/>
    </row>
    <row r="330" spans="11:11" s="507" customFormat="1" x14ac:dyDescent="0.2">
      <c r="K330" s="573"/>
    </row>
    <row r="331" spans="11:11" s="507" customFormat="1" x14ac:dyDescent="0.2">
      <c r="K331" s="573"/>
    </row>
    <row r="332" spans="11:11" s="507" customFormat="1" x14ac:dyDescent="0.2">
      <c r="K332" s="573"/>
    </row>
    <row r="333" spans="11:11" s="507" customFormat="1" x14ac:dyDescent="0.2">
      <c r="K333" s="573"/>
    </row>
    <row r="334" spans="11:11" s="507" customFormat="1" x14ac:dyDescent="0.2">
      <c r="K334" s="573"/>
    </row>
    <row r="335" spans="11:11" s="507" customFormat="1" x14ac:dyDescent="0.2">
      <c r="K335" s="573"/>
    </row>
    <row r="336" spans="11:11" s="507" customFormat="1" x14ac:dyDescent="0.2">
      <c r="K336" s="573"/>
    </row>
    <row r="337" spans="11:11" s="507" customFormat="1" x14ac:dyDescent="0.2">
      <c r="K337" s="573"/>
    </row>
    <row r="338" spans="11:11" s="507" customFormat="1" x14ac:dyDescent="0.2">
      <c r="K338" s="573"/>
    </row>
    <row r="339" spans="11:11" s="507" customFormat="1" x14ac:dyDescent="0.2">
      <c r="K339" s="573"/>
    </row>
    <row r="340" spans="11:11" s="507" customFormat="1" x14ac:dyDescent="0.2">
      <c r="K340" s="573"/>
    </row>
    <row r="341" spans="11:11" s="507" customFormat="1" x14ac:dyDescent="0.2">
      <c r="K341" s="573"/>
    </row>
    <row r="342" spans="11:11" s="507" customFormat="1" x14ac:dyDescent="0.2">
      <c r="K342" s="573"/>
    </row>
    <row r="343" spans="11:11" s="507" customFormat="1" x14ac:dyDescent="0.2">
      <c r="K343" s="573"/>
    </row>
    <row r="344" spans="11:11" s="507" customFormat="1" x14ac:dyDescent="0.2">
      <c r="K344" s="573"/>
    </row>
    <row r="345" spans="11:11" s="507" customFormat="1" x14ac:dyDescent="0.2">
      <c r="K345" s="573"/>
    </row>
    <row r="346" spans="11:11" s="507" customFormat="1" x14ac:dyDescent="0.2">
      <c r="K346" s="573"/>
    </row>
    <row r="347" spans="11:11" s="507" customFormat="1" x14ac:dyDescent="0.2">
      <c r="K347" s="573"/>
    </row>
    <row r="348" spans="11:11" s="507" customFormat="1" x14ac:dyDescent="0.2">
      <c r="K348" s="573"/>
    </row>
    <row r="349" spans="11:11" s="507" customFormat="1" x14ac:dyDescent="0.2">
      <c r="K349" s="573"/>
    </row>
    <row r="350" spans="11:11" s="507" customFormat="1" x14ac:dyDescent="0.2">
      <c r="K350" s="573"/>
    </row>
    <row r="351" spans="11:11" s="507" customFormat="1" x14ac:dyDescent="0.2">
      <c r="K351" s="573"/>
    </row>
    <row r="352" spans="11:11" s="507" customFormat="1" x14ac:dyDescent="0.2">
      <c r="K352" s="573"/>
    </row>
    <row r="353" spans="11:11" s="507" customFormat="1" x14ac:dyDescent="0.2">
      <c r="K353" s="573"/>
    </row>
    <row r="354" spans="11:11" s="507" customFormat="1" x14ac:dyDescent="0.2">
      <c r="K354" s="573"/>
    </row>
    <row r="355" spans="11:11" s="507" customFormat="1" x14ac:dyDescent="0.2">
      <c r="K355" s="573"/>
    </row>
    <row r="356" spans="11:11" s="507" customFormat="1" x14ac:dyDescent="0.2">
      <c r="K356" s="573"/>
    </row>
    <row r="357" spans="11:11" s="507" customFormat="1" x14ac:dyDescent="0.2">
      <c r="K357" s="573"/>
    </row>
    <row r="358" spans="11:11" s="507" customFormat="1" x14ac:dyDescent="0.2">
      <c r="K358" s="573"/>
    </row>
    <row r="359" spans="11:11" s="507" customFormat="1" x14ac:dyDescent="0.2">
      <c r="K359" s="573"/>
    </row>
    <row r="360" spans="11:11" s="507" customFormat="1" x14ac:dyDescent="0.2">
      <c r="K360" s="573"/>
    </row>
    <row r="361" spans="11:11" s="507" customFormat="1" x14ac:dyDescent="0.2">
      <c r="K361" s="573"/>
    </row>
    <row r="362" spans="11:11" s="507" customFormat="1" x14ac:dyDescent="0.2">
      <c r="K362" s="573"/>
    </row>
    <row r="363" spans="11:11" s="507" customFormat="1" x14ac:dyDescent="0.2">
      <c r="K363" s="573"/>
    </row>
    <row r="364" spans="11:11" s="507" customFormat="1" x14ac:dyDescent="0.2">
      <c r="K364" s="573"/>
    </row>
    <row r="365" spans="11:11" s="507" customFormat="1" x14ac:dyDescent="0.2">
      <c r="K365" s="573"/>
    </row>
    <row r="366" spans="11:11" s="507" customFormat="1" x14ac:dyDescent="0.2">
      <c r="K366" s="573"/>
    </row>
    <row r="367" spans="11:11" s="507" customFormat="1" x14ac:dyDescent="0.2">
      <c r="K367" s="573"/>
    </row>
    <row r="368" spans="11:11" s="507" customFormat="1" x14ac:dyDescent="0.2">
      <c r="K368" s="573"/>
    </row>
    <row r="369" spans="11:11" s="507" customFormat="1" x14ac:dyDescent="0.2">
      <c r="K369" s="573"/>
    </row>
    <row r="370" spans="11:11" s="507" customFormat="1" x14ac:dyDescent="0.2">
      <c r="K370" s="573"/>
    </row>
    <row r="371" spans="11:11" s="507" customFormat="1" x14ac:dyDescent="0.2">
      <c r="K371" s="573"/>
    </row>
    <row r="372" spans="11:11" s="507" customFormat="1" x14ac:dyDescent="0.2">
      <c r="K372" s="573"/>
    </row>
    <row r="373" spans="11:11" s="507" customFormat="1" x14ac:dyDescent="0.2">
      <c r="K373" s="573"/>
    </row>
    <row r="374" spans="11:11" s="507" customFormat="1" x14ac:dyDescent="0.2">
      <c r="K374" s="573"/>
    </row>
    <row r="375" spans="11:11" s="507" customFormat="1" x14ac:dyDescent="0.2">
      <c r="K375" s="573"/>
    </row>
    <row r="376" spans="11:11" s="507" customFormat="1" x14ac:dyDescent="0.2">
      <c r="K376" s="573"/>
    </row>
    <row r="377" spans="11:11" s="507" customFormat="1" x14ac:dyDescent="0.2">
      <c r="K377" s="573"/>
    </row>
    <row r="378" spans="11:11" s="507" customFormat="1" x14ac:dyDescent="0.2">
      <c r="K378" s="573"/>
    </row>
    <row r="379" spans="11:11" s="507" customFormat="1" x14ac:dyDescent="0.2">
      <c r="K379" s="573"/>
    </row>
    <row r="380" spans="11:11" s="507" customFormat="1" x14ac:dyDescent="0.2">
      <c r="K380" s="573"/>
    </row>
    <row r="381" spans="11:11" s="507" customFormat="1" x14ac:dyDescent="0.2">
      <c r="K381" s="573"/>
    </row>
    <row r="382" spans="11:11" s="507" customFormat="1" x14ac:dyDescent="0.2">
      <c r="K382" s="573"/>
    </row>
    <row r="383" spans="11:11" s="507" customFormat="1" x14ac:dyDescent="0.2">
      <c r="K383" s="573"/>
    </row>
    <row r="384" spans="11:11" s="507" customFormat="1" x14ac:dyDescent="0.2">
      <c r="K384" s="573"/>
    </row>
    <row r="385" spans="11:11" s="507" customFormat="1" x14ac:dyDescent="0.2">
      <c r="K385" s="573"/>
    </row>
    <row r="386" spans="11:11" s="507" customFormat="1" x14ac:dyDescent="0.2">
      <c r="K386" s="573"/>
    </row>
    <row r="387" spans="11:11" s="507" customFormat="1" x14ac:dyDescent="0.2">
      <c r="K387" s="573"/>
    </row>
    <row r="388" spans="11:11" s="507" customFormat="1" x14ac:dyDescent="0.2">
      <c r="K388" s="573"/>
    </row>
    <row r="389" spans="11:11" s="507" customFormat="1" x14ac:dyDescent="0.2">
      <c r="K389" s="573"/>
    </row>
    <row r="390" spans="11:11" s="507" customFormat="1" x14ac:dyDescent="0.2">
      <c r="K390" s="573"/>
    </row>
    <row r="391" spans="11:11" s="507" customFormat="1" x14ac:dyDescent="0.2">
      <c r="K391" s="573"/>
    </row>
    <row r="392" spans="11:11" s="507" customFormat="1" x14ac:dyDescent="0.2">
      <c r="K392" s="573"/>
    </row>
    <row r="393" spans="11:11" s="507" customFormat="1" x14ac:dyDescent="0.2">
      <c r="K393" s="573"/>
    </row>
    <row r="394" spans="11:11" s="507" customFormat="1" x14ac:dyDescent="0.2">
      <c r="K394" s="573"/>
    </row>
    <row r="395" spans="11:11" s="507" customFormat="1" x14ac:dyDescent="0.2">
      <c r="K395" s="573"/>
    </row>
    <row r="396" spans="11:11" s="507" customFormat="1" x14ac:dyDescent="0.2">
      <c r="K396" s="573"/>
    </row>
    <row r="397" spans="11:11" s="507" customFormat="1" x14ac:dyDescent="0.2">
      <c r="K397" s="573"/>
    </row>
    <row r="398" spans="11:11" s="507" customFormat="1" x14ac:dyDescent="0.2">
      <c r="K398" s="573"/>
    </row>
    <row r="399" spans="11:11" s="507" customFormat="1" x14ac:dyDescent="0.2">
      <c r="K399" s="573"/>
    </row>
    <row r="400" spans="11:11" s="507" customFormat="1" x14ac:dyDescent="0.2">
      <c r="K400" s="573"/>
    </row>
    <row r="401" spans="11:11" s="507" customFormat="1" x14ac:dyDescent="0.2">
      <c r="K401" s="573"/>
    </row>
    <row r="402" spans="11:11" s="507" customFormat="1" x14ac:dyDescent="0.2">
      <c r="K402" s="573"/>
    </row>
    <row r="403" spans="11:11" s="507" customFormat="1" x14ac:dyDescent="0.2">
      <c r="K403" s="573"/>
    </row>
    <row r="404" spans="11:11" s="507" customFormat="1" x14ac:dyDescent="0.2">
      <c r="K404" s="573"/>
    </row>
    <row r="405" spans="11:11" s="507" customFormat="1" x14ac:dyDescent="0.2">
      <c r="K405" s="573"/>
    </row>
    <row r="406" spans="11:11" s="507" customFormat="1" x14ac:dyDescent="0.2">
      <c r="K406" s="573"/>
    </row>
    <row r="407" spans="11:11" s="507" customFormat="1" x14ac:dyDescent="0.2">
      <c r="K407" s="573"/>
    </row>
    <row r="408" spans="11:11" s="507" customFormat="1" x14ac:dyDescent="0.2">
      <c r="K408" s="573"/>
    </row>
    <row r="409" spans="11:11" s="507" customFormat="1" x14ac:dyDescent="0.2">
      <c r="K409" s="573"/>
    </row>
    <row r="410" spans="11:11" s="507" customFormat="1" x14ac:dyDescent="0.2">
      <c r="K410" s="573"/>
    </row>
    <row r="411" spans="11:11" s="507" customFormat="1" x14ac:dyDescent="0.2">
      <c r="K411" s="573"/>
    </row>
    <row r="412" spans="11:11" s="507" customFormat="1" x14ac:dyDescent="0.2">
      <c r="K412" s="573"/>
    </row>
    <row r="413" spans="11:11" s="507" customFormat="1" x14ac:dyDescent="0.2">
      <c r="K413" s="573"/>
    </row>
    <row r="414" spans="11:11" s="507" customFormat="1" x14ac:dyDescent="0.2">
      <c r="K414" s="573"/>
    </row>
    <row r="415" spans="11:11" s="507" customFormat="1" x14ac:dyDescent="0.2">
      <c r="K415" s="573"/>
    </row>
    <row r="416" spans="11:11" s="507" customFormat="1" x14ac:dyDescent="0.2">
      <c r="K416" s="573"/>
    </row>
    <row r="417" spans="11:11" s="507" customFormat="1" x14ac:dyDescent="0.2">
      <c r="K417" s="573"/>
    </row>
    <row r="418" spans="11:11" s="507" customFormat="1" x14ac:dyDescent="0.2">
      <c r="K418" s="573"/>
    </row>
    <row r="419" spans="11:11" s="507" customFormat="1" x14ac:dyDescent="0.2">
      <c r="K419" s="573"/>
    </row>
    <row r="420" spans="11:11" s="507" customFormat="1" x14ac:dyDescent="0.2">
      <c r="K420" s="573"/>
    </row>
    <row r="421" spans="11:11" s="507" customFormat="1" x14ac:dyDescent="0.2">
      <c r="K421" s="573"/>
    </row>
    <row r="422" spans="11:11" s="507" customFormat="1" x14ac:dyDescent="0.2">
      <c r="K422" s="573"/>
    </row>
    <row r="423" spans="11:11" s="507" customFormat="1" x14ac:dyDescent="0.2">
      <c r="K423" s="573"/>
    </row>
    <row r="424" spans="11:11" s="507" customFormat="1" x14ac:dyDescent="0.2">
      <c r="K424" s="573"/>
    </row>
    <row r="425" spans="11:11" s="507" customFormat="1" x14ac:dyDescent="0.2">
      <c r="K425" s="573"/>
    </row>
    <row r="426" spans="11:11" s="507" customFormat="1" x14ac:dyDescent="0.2">
      <c r="K426" s="573"/>
    </row>
    <row r="427" spans="11:11" s="507" customFormat="1" x14ac:dyDescent="0.2">
      <c r="K427" s="573"/>
    </row>
    <row r="428" spans="11:11" s="507" customFormat="1" x14ac:dyDescent="0.2">
      <c r="K428" s="573"/>
    </row>
    <row r="429" spans="11:11" s="507" customFormat="1" x14ac:dyDescent="0.2">
      <c r="K429" s="573"/>
    </row>
    <row r="430" spans="11:11" s="507" customFormat="1" x14ac:dyDescent="0.2">
      <c r="K430" s="573"/>
    </row>
    <row r="431" spans="11:11" s="507" customFormat="1" x14ac:dyDescent="0.2">
      <c r="K431" s="573"/>
    </row>
    <row r="432" spans="11:11" s="507" customFormat="1" x14ac:dyDescent="0.2">
      <c r="K432" s="573"/>
    </row>
    <row r="433" spans="11:11" s="507" customFormat="1" x14ac:dyDescent="0.2">
      <c r="K433" s="573"/>
    </row>
    <row r="434" spans="11:11" s="507" customFormat="1" x14ac:dyDescent="0.2">
      <c r="K434" s="573"/>
    </row>
    <row r="435" spans="11:11" s="507" customFormat="1" x14ac:dyDescent="0.2">
      <c r="K435" s="573"/>
    </row>
    <row r="436" spans="11:11" s="507" customFormat="1" x14ac:dyDescent="0.2">
      <c r="K436" s="573"/>
    </row>
    <row r="437" spans="11:11" s="507" customFormat="1" x14ac:dyDescent="0.2">
      <c r="K437" s="573"/>
    </row>
    <row r="438" spans="11:11" s="507" customFormat="1" x14ac:dyDescent="0.2">
      <c r="K438" s="573"/>
    </row>
    <row r="439" spans="11:11" s="507" customFormat="1" x14ac:dyDescent="0.2">
      <c r="K439" s="573"/>
    </row>
    <row r="440" spans="11:11" s="507" customFormat="1" x14ac:dyDescent="0.2">
      <c r="K440" s="573"/>
    </row>
    <row r="441" spans="11:11" s="507" customFormat="1" x14ac:dyDescent="0.2">
      <c r="K441" s="573"/>
    </row>
    <row r="442" spans="11:11" s="507" customFormat="1" x14ac:dyDescent="0.2">
      <c r="K442" s="573"/>
    </row>
    <row r="443" spans="11:11" s="507" customFormat="1" x14ac:dyDescent="0.2">
      <c r="K443" s="573"/>
    </row>
    <row r="444" spans="11:11" s="507" customFormat="1" x14ac:dyDescent="0.2">
      <c r="K444" s="573"/>
    </row>
    <row r="445" spans="11:11" s="507" customFormat="1" x14ac:dyDescent="0.2">
      <c r="K445" s="573"/>
    </row>
    <row r="446" spans="11:11" s="507" customFormat="1" x14ac:dyDescent="0.2">
      <c r="K446" s="573"/>
    </row>
    <row r="447" spans="11:11" s="507" customFormat="1" x14ac:dyDescent="0.2">
      <c r="K447" s="573"/>
    </row>
    <row r="448" spans="11:11" s="507" customFormat="1" x14ac:dyDescent="0.2">
      <c r="K448" s="573"/>
    </row>
    <row r="449" spans="11:11" s="507" customFormat="1" x14ac:dyDescent="0.2">
      <c r="K449" s="573"/>
    </row>
    <row r="450" spans="11:11" s="507" customFormat="1" x14ac:dyDescent="0.2">
      <c r="K450" s="573"/>
    </row>
    <row r="451" spans="11:11" s="507" customFormat="1" x14ac:dyDescent="0.2">
      <c r="K451" s="573"/>
    </row>
    <row r="452" spans="11:11" s="507" customFormat="1" x14ac:dyDescent="0.2">
      <c r="K452" s="573"/>
    </row>
    <row r="453" spans="11:11" s="507" customFormat="1" x14ac:dyDescent="0.2">
      <c r="K453" s="573"/>
    </row>
    <row r="454" spans="11:11" s="507" customFormat="1" x14ac:dyDescent="0.2">
      <c r="K454" s="573"/>
    </row>
    <row r="455" spans="11:11" s="507" customFormat="1" x14ac:dyDescent="0.2">
      <c r="K455" s="573"/>
    </row>
    <row r="456" spans="11:11" s="507" customFormat="1" x14ac:dyDescent="0.2">
      <c r="K456" s="573"/>
    </row>
    <row r="457" spans="11:11" s="507" customFormat="1" x14ac:dyDescent="0.2">
      <c r="K457" s="573"/>
    </row>
    <row r="458" spans="11:11" s="507" customFormat="1" x14ac:dyDescent="0.2">
      <c r="K458" s="573"/>
    </row>
    <row r="459" spans="11:11" s="507" customFormat="1" x14ac:dyDescent="0.2">
      <c r="K459" s="573"/>
    </row>
    <row r="460" spans="11:11" s="507" customFormat="1" x14ac:dyDescent="0.2">
      <c r="K460" s="573"/>
    </row>
    <row r="461" spans="11:11" s="507" customFormat="1" x14ac:dyDescent="0.2">
      <c r="K461" s="573"/>
    </row>
    <row r="462" spans="11:11" s="507" customFormat="1" x14ac:dyDescent="0.2">
      <c r="K462" s="573"/>
    </row>
    <row r="463" spans="11:11" s="507" customFormat="1" x14ac:dyDescent="0.2">
      <c r="K463" s="573"/>
    </row>
    <row r="464" spans="11:11" s="507" customFormat="1" x14ac:dyDescent="0.2">
      <c r="K464" s="573"/>
    </row>
    <row r="465" spans="11:11" s="507" customFormat="1" x14ac:dyDescent="0.2">
      <c r="K465" s="573"/>
    </row>
    <row r="466" spans="11:11" s="507" customFormat="1" x14ac:dyDescent="0.2">
      <c r="K466" s="573"/>
    </row>
    <row r="467" spans="11:11" s="507" customFormat="1" x14ac:dyDescent="0.2">
      <c r="K467" s="573"/>
    </row>
    <row r="468" spans="11:11" s="507" customFormat="1" x14ac:dyDescent="0.2">
      <c r="K468" s="573"/>
    </row>
    <row r="469" spans="11:11" s="507" customFormat="1" x14ac:dyDescent="0.2">
      <c r="K469" s="573"/>
    </row>
    <row r="470" spans="11:11" s="507" customFormat="1" x14ac:dyDescent="0.2">
      <c r="K470" s="573"/>
    </row>
    <row r="471" spans="11:11" s="507" customFormat="1" x14ac:dyDescent="0.2">
      <c r="K471" s="573"/>
    </row>
    <row r="472" spans="11:11" s="507" customFormat="1" x14ac:dyDescent="0.2">
      <c r="K472" s="573"/>
    </row>
    <row r="473" spans="11:11" s="507" customFormat="1" x14ac:dyDescent="0.2">
      <c r="K473" s="573"/>
    </row>
    <row r="474" spans="11:11" s="507" customFormat="1" x14ac:dyDescent="0.2">
      <c r="K474" s="573"/>
    </row>
    <row r="475" spans="11:11" s="507" customFormat="1" x14ac:dyDescent="0.2">
      <c r="K475" s="573"/>
    </row>
    <row r="476" spans="11:11" s="507" customFormat="1" x14ac:dyDescent="0.2">
      <c r="K476" s="573"/>
    </row>
    <row r="477" spans="11:11" s="507" customFormat="1" x14ac:dyDescent="0.2">
      <c r="K477" s="573"/>
    </row>
    <row r="478" spans="11:11" s="507" customFormat="1" x14ac:dyDescent="0.2">
      <c r="K478" s="573"/>
    </row>
    <row r="479" spans="11:11" s="507" customFormat="1" x14ac:dyDescent="0.2">
      <c r="K479" s="573"/>
    </row>
    <row r="480" spans="11:11" s="507" customFormat="1" x14ac:dyDescent="0.2">
      <c r="K480" s="573"/>
    </row>
    <row r="481" spans="11:11" s="507" customFormat="1" x14ac:dyDescent="0.2">
      <c r="K481" s="573"/>
    </row>
    <row r="482" spans="11:11" s="507" customFormat="1" x14ac:dyDescent="0.2">
      <c r="K482" s="573"/>
    </row>
    <row r="483" spans="11:11" s="507" customFormat="1" x14ac:dyDescent="0.2">
      <c r="K483" s="573"/>
    </row>
    <row r="484" spans="11:11" s="507" customFormat="1" x14ac:dyDescent="0.2">
      <c r="K484" s="573"/>
    </row>
    <row r="485" spans="11:11" s="507" customFormat="1" x14ac:dyDescent="0.2">
      <c r="K485" s="573"/>
    </row>
    <row r="486" spans="11:11" s="507" customFormat="1" x14ac:dyDescent="0.2">
      <c r="K486" s="573"/>
    </row>
    <row r="487" spans="11:11" s="507" customFormat="1" x14ac:dyDescent="0.2">
      <c r="K487" s="573"/>
    </row>
  </sheetData>
  <sheetProtection password="E421" sheet="1" objects="1" scenarios="1"/>
  <mergeCells count="136">
    <mergeCell ref="A212:L212"/>
    <mergeCell ref="A213:L214"/>
    <mergeCell ref="D132:E132"/>
    <mergeCell ref="D133:E133"/>
    <mergeCell ref="D134:E134"/>
    <mergeCell ref="A207:L208"/>
    <mergeCell ref="A209:L209"/>
    <mergeCell ref="A210:L211"/>
    <mergeCell ref="D126:E126"/>
    <mergeCell ref="D127:E127"/>
    <mergeCell ref="D128:E128"/>
    <mergeCell ref="D129:E129"/>
    <mergeCell ref="D130:E130"/>
    <mergeCell ref="D131:E131"/>
    <mergeCell ref="G118:M119"/>
    <mergeCell ref="D121:E121"/>
    <mergeCell ref="D122:E122"/>
    <mergeCell ref="D123:E123"/>
    <mergeCell ref="D124:E124"/>
    <mergeCell ref="D125:E125"/>
    <mergeCell ref="B91:C91"/>
    <mergeCell ref="D91:M91"/>
    <mergeCell ref="B92:C92"/>
    <mergeCell ref="D92:M92"/>
    <mergeCell ref="B93:C93"/>
    <mergeCell ref="D93:M93"/>
    <mergeCell ref="D87:M87"/>
    <mergeCell ref="B88:M88"/>
    <mergeCell ref="B89:C89"/>
    <mergeCell ref="D89:M89"/>
    <mergeCell ref="B90:C90"/>
    <mergeCell ref="D90:M90"/>
    <mergeCell ref="B83:M83"/>
    <mergeCell ref="B84:C84"/>
    <mergeCell ref="D84:M84"/>
    <mergeCell ref="B85:C85"/>
    <mergeCell ref="D85:M85"/>
    <mergeCell ref="B86:C86"/>
    <mergeCell ref="D86:M86"/>
    <mergeCell ref="N75:N93"/>
    <mergeCell ref="B76:C76"/>
    <mergeCell ref="D76:M76"/>
    <mergeCell ref="B77:C77"/>
    <mergeCell ref="D77:M77"/>
    <mergeCell ref="B78:M78"/>
    <mergeCell ref="B79:C79"/>
    <mergeCell ref="B67:C67"/>
    <mergeCell ref="D67:M67"/>
    <mergeCell ref="D68:F68"/>
    <mergeCell ref="G68:I68"/>
    <mergeCell ref="D69:F73"/>
    <mergeCell ref="G69:I73"/>
    <mergeCell ref="D79:M79"/>
    <mergeCell ref="B80:C80"/>
    <mergeCell ref="D80:M80"/>
    <mergeCell ref="B81:C81"/>
    <mergeCell ref="D81:M81"/>
    <mergeCell ref="B82:C82"/>
    <mergeCell ref="D82:M82"/>
    <mergeCell ref="B74:C74"/>
    <mergeCell ref="D74:M74"/>
    <mergeCell ref="B75:M75"/>
    <mergeCell ref="B87:C87"/>
    <mergeCell ref="D59:F63"/>
    <mergeCell ref="G59:I63"/>
    <mergeCell ref="B64:C64"/>
    <mergeCell ref="D64:M64"/>
    <mergeCell ref="B65:M65"/>
    <mergeCell ref="B66:C66"/>
    <mergeCell ref="D66:M66"/>
    <mergeCell ref="B55:M55"/>
    <mergeCell ref="B56:C56"/>
    <mergeCell ref="D56:M56"/>
    <mergeCell ref="B57:C57"/>
    <mergeCell ref="D57:M57"/>
    <mergeCell ref="D58:F58"/>
    <mergeCell ref="G58:I58"/>
    <mergeCell ref="D48:F48"/>
    <mergeCell ref="G48:I48"/>
    <mergeCell ref="D49:F53"/>
    <mergeCell ref="G49:I53"/>
    <mergeCell ref="B54:C54"/>
    <mergeCell ref="D54:M54"/>
    <mergeCell ref="B44:C44"/>
    <mergeCell ref="D44:M44"/>
    <mergeCell ref="B45:M45"/>
    <mergeCell ref="B46:C46"/>
    <mergeCell ref="D46:M46"/>
    <mergeCell ref="B47:C47"/>
    <mergeCell ref="D47:M47"/>
    <mergeCell ref="B37:C37"/>
    <mergeCell ref="D37:M37"/>
    <mergeCell ref="D38:F38"/>
    <mergeCell ref="G38:I38"/>
    <mergeCell ref="D39:F43"/>
    <mergeCell ref="G39:I43"/>
    <mergeCell ref="D29:F33"/>
    <mergeCell ref="G29:I33"/>
    <mergeCell ref="B34:C34"/>
    <mergeCell ref="D34:M34"/>
    <mergeCell ref="B35:M35"/>
    <mergeCell ref="B36:C36"/>
    <mergeCell ref="D36:M36"/>
    <mergeCell ref="B23:C23"/>
    <mergeCell ref="B24:C24"/>
    <mergeCell ref="B25:C25"/>
    <mergeCell ref="B27:M27"/>
    <mergeCell ref="D28:F28"/>
    <mergeCell ref="G28:I28"/>
    <mergeCell ref="N15:N22"/>
    <mergeCell ref="B17:C17"/>
    <mergeCell ref="B18:C18"/>
    <mergeCell ref="B19:C19"/>
    <mergeCell ref="B20:C20"/>
    <mergeCell ref="B21:C21"/>
    <mergeCell ref="B22:C22"/>
    <mergeCell ref="B14:M14"/>
    <mergeCell ref="B15:C16"/>
    <mergeCell ref="D15:E15"/>
    <mergeCell ref="F15:G15"/>
    <mergeCell ref="H15:I15"/>
    <mergeCell ref="J15:K15"/>
    <mergeCell ref="L15:M15"/>
    <mergeCell ref="C10:M10"/>
    <mergeCell ref="C11:M11"/>
    <mergeCell ref="N11:N12"/>
    <mergeCell ref="C12:M12"/>
    <mergeCell ref="D13:F13"/>
    <mergeCell ref="G13:I13"/>
    <mergeCell ref="J13:M13"/>
    <mergeCell ref="B1:E1"/>
    <mergeCell ref="F1:M1"/>
    <mergeCell ref="B3:M3"/>
    <mergeCell ref="B4:M4"/>
    <mergeCell ref="B8:M8"/>
    <mergeCell ref="C9:M9"/>
  </mergeCells>
  <conditionalFormatting sqref="F1:M1">
    <cfRule type="containsText" dxfId="195" priority="43" operator="containsText" text="0">
      <formula>NOT(ISERROR(SEARCH("0",F1)))</formula>
    </cfRule>
  </conditionalFormatting>
  <conditionalFormatting sqref="C9:M10">
    <cfRule type="cellIs" dxfId="194" priority="42" operator="lessThanOrEqual">
      <formula>0</formula>
    </cfRule>
  </conditionalFormatting>
  <conditionalFormatting sqref="D79:M80 D84:M85 D90:M91">
    <cfRule type="containsErrors" dxfId="193" priority="41">
      <formula>ISERROR(D79)</formula>
    </cfRule>
  </conditionalFormatting>
  <conditionalFormatting sqref="D79:M79">
    <cfRule type="cellIs" dxfId="192" priority="39" operator="equal">
      <formula>0</formula>
    </cfRule>
  </conditionalFormatting>
  <conditionalFormatting sqref="E77:M77 D76:D77">
    <cfRule type="cellIs" dxfId="191" priority="37" operator="lessThanOrEqual">
      <formula>0</formula>
    </cfRule>
  </conditionalFormatting>
  <conditionalFormatting sqref="D81:M81">
    <cfRule type="cellIs" dxfId="190" priority="36" operator="lessThanOrEqual">
      <formula>0</formula>
    </cfRule>
  </conditionalFormatting>
  <conditionalFormatting sqref="D86:M86">
    <cfRule type="cellIs" dxfId="189" priority="35" operator="lessThanOrEqual">
      <formula>0</formula>
    </cfRule>
  </conditionalFormatting>
  <conditionalFormatting sqref="D92:M92">
    <cfRule type="cellIs" dxfId="188" priority="34" operator="lessThanOrEqual">
      <formula>0</formula>
    </cfRule>
  </conditionalFormatting>
  <conditionalFormatting sqref="C11:M12 D13 J13">
    <cfRule type="containsErrors" dxfId="187" priority="33">
      <formula>ISERROR(C11)</formula>
    </cfRule>
  </conditionalFormatting>
  <conditionalFormatting sqref="C12:M12 D13 J13">
    <cfRule type="cellIs" dxfId="186" priority="32" stopIfTrue="1" operator="lessThanOrEqual">
      <formula>0</formula>
    </cfRule>
  </conditionalFormatting>
  <conditionalFormatting sqref="B143:C152">
    <cfRule type="containsErrors" dxfId="185" priority="17">
      <formula>ISERROR(B143)</formula>
    </cfRule>
  </conditionalFormatting>
  <conditionalFormatting sqref="B153:C156">
    <cfRule type="containsErrors" dxfId="184" priority="16">
      <formula>ISERROR(B153)</formula>
    </cfRule>
  </conditionalFormatting>
  <conditionalFormatting sqref="B157:C160">
    <cfRule type="containsErrors" dxfId="183" priority="15">
      <formula>ISERROR(B157)</formula>
    </cfRule>
  </conditionalFormatting>
  <conditionalFormatting sqref="B161:C164">
    <cfRule type="containsErrors" dxfId="182" priority="14">
      <formula>ISERROR(B161)</formula>
    </cfRule>
  </conditionalFormatting>
  <conditionalFormatting sqref="B165:C168">
    <cfRule type="containsErrors" dxfId="181" priority="13">
      <formula>ISERROR(B165)</formula>
    </cfRule>
  </conditionalFormatting>
  <conditionalFormatting sqref="D29:D34 E29:F33 D54">
    <cfRule type="containsErrors" dxfId="180" priority="12">
      <formula>ISERROR(D29)</formula>
    </cfRule>
  </conditionalFormatting>
  <conditionalFormatting sqref="N43 N33:N34 N53 N63 N73">
    <cfRule type="containsErrors" dxfId="179" priority="11">
      <formula>ISERROR(N33)</formula>
    </cfRule>
  </conditionalFormatting>
  <conditionalFormatting sqref="D74:M74 D64:M64 D54:M54 D44:M44 D34:M34">
    <cfRule type="cellIs" dxfId="178" priority="10" stopIfTrue="1" operator="lessThanOrEqual">
      <formula>0</formula>
    </cfRule>
  </conditionalFormatting>
  <conditionalFormatting sqref="D29:F33">
    <cfRule type="cellIs" dxfId="177" priority="9" operator="lessThanOrEqual">
      <formula>0</formula>
    </cfRule>
  </conditionalFormatting>
  <conditionalFormatting sqref="D39:F43">
    <cfRule type="containsErrors" dxfId="176" priority="8">
      <formula>ISERROR(D39)</formula>
    </cfRule>
  </conditionalFormatting>
  <conditionalFormatting sqref="D39:F43">
    <cfRule type="cellIs" dxfId="175" priority="7" operator="lessThanOrEqual">
      <formula>0</formula>
    </cfRule>
  </conditionalFormatting>
  <conditionalFormatting sqref="D49:F53">
    <cfRule type="containsErrors" dxfId="174" priority="6">
      <formula>ISERROR(D49)</formula>
    </cfRule>
  </conditionalFormatting>
  <conditionalFormatting sqref="D49:F53">
    <cfRule type="cellIs" dxfId="173" priority="5" operator="lessThanOrEqual">
      <formula>0</formula>
    </cfRule>
  </conditionalFormatting>
  <conditionalFormatting sqref="D59:F63">
    <cfRule type="containsErrors" dxfId="172" priority="4">
      <formula>ISERROR(D59)</formula>
    </cfRule>
  </conditionalFormatting>
  <conditionalFormatting sqref="D59:F63">
    <cfRule type="cellIs" dxfId="171" priority="3" operator="lessThanOrEqual">
      <formula>0</formula>
    </cfRule>
  </conditionalFormatting>
  <conditionalFormatting sqref="D69:F73">
    <cfRule type="containsErrors" dxfId="170" priority="2">
      <formula>ISERROR(D69)</formula>
    </cfRule>
  </conditionalFormatting>
  <conditionalFormatting sqref="D69:F73">
    <cfRule type="cellIs" dxfId="169" priority="1" operator="lessThanOrEqual">
      <formula>0</formula>
    </cfRule>
  </conditionalFormatting>
  <dataValidations count="2">
    <dataValidation type="list" allowBlank="1" showInputMessage="1" showErrorMessage="1" sqref="C13" xr:uid="{00000000-0002-0000-1300-000000000000}">
      <formula1>Cistern</formula1>
    </dataValidation>
    <dataValidation type="list" allowBlank="1" showInputMessage="1" showErrorMessage="1" sqref="C29:C33 C69:C73 C59:C63 C49:C53 C39:C43" xr:uid="{00000000-0002-0000-1300-000001000000}">
      <formula1>$B$122:$B$134</formula1>
    </dataValidation>
  </dataValidations>
  <hyperlinks>
    <hyperlink ref="A210:J211" location="'SITE SUMMARY'!A1" display="CONTINUE TO SITE SUMMARY" xr:uid="{00000000-0004-0000-1300-000000000000}"/>
    <hyperlink ref="A213:J214" location="'SITE SUMMARY'!A1" display="CONTINUE TO SITE SUMMARY" xr:uid="{00000000-0004-0000-1300-000001000000}"/>
    <hyperlink ref="A210:L211" location="'BMP SUMMARY'!A1" display="CONTINUE TO BMP SUMMARY" xr:uid="{00000000-0004-0000-1300-000002000000}"/>
    <hyperlink ref="A207:J208" location="'DA2'!A1" display="CLICK TO ADD ANOTHER DRAINAGE AREA" xr:uid="{00000000-0004-0000-1300-000003000000}"/>
    <hyperlink ref="A207:L208" location="DA2_BMPs!A1" display="CLICK TO ADD BMPS TO ANOTHER DRAINAGE AREA" xr:uid="{00000000-0004-0000-1300-000004000000}"/>
  </hyperlinks>
  <printOptions horizontalCentered="1"/>
  <pageMargins left="0.7" right="0.7" top="0.75" bottom="0.75" header="0.3" footer="0.3"/>
  <pageSetup scale="42" fitToHeight="2" orientation="portrait" r:id="rId1"/>
  <headerFooter>
    <oddFooter>&amp;A&amp;RPage &amp;P</oddFooter>
  </headerFooter>
  <rowBreaks count="1" manualBreakCount="1">
    <brk id="54" min="1" max="12" man="1"/>
  </rowBreaks>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030A0"/>
  </sheetPr>
  <dimension ref="A1:AA487"/>
  <sheetViews>
    <sheetView showRowColHeaders="0" zoomScale="70" zoomScaleNormal="70" zoomScalePageLayoutView="55" workbookViewId="0">
      <selection activeCell="C13" sqref="C13"/>
    </sheetView>
  </sheetViews>
  <sheetFormatPr defaultRowHeight="15" x14ac:dyDescent="0.2"/>
  <cols>
    <col min="1" max="1" width="3.77734375" style="507" customWidth="1"/>
    <col min="2" max="2" width="39" style="161" customWidth="1"/>
    <col min="3" max="3" width="42.5546875" style="161" bestFit="1" customWidth="1"/>
    <col min="4" max="10" width="9.77734375" style="161" customWidth="1"/>
    <col min="11" max="11" width="9.77734375" style="398" customWidth="1"/>
    <col min="12" max="13" width="9.77734375" style="161" customWidth="1"/>
    <col min="14" max="14" width="77" style="161" customWidth="1"/>
    <col min="15" max="25" width="8.88671875" style="507"/>
    <col min="26" max="16384" width="8.88671875" style="161"/>
  </cols>
  <sheetData>
    <row r="1" spans="1:25" ht="16.5" customHeight="1" thickBot="1" x14ac:dyDescent="0.3">
      <c r="B1" s="787" t="s">
        <v>31</v>
      </c>
      <c r="C1" s="787"/>
      <c r="D1" s="787"/>
      <c r="E1" s="931"/>
      <c r="F1" s="1107">
        <f>'SITE DATA'!F9</f>
        <v>0</v>
      </c>
      <c r="G1" s="1108"/>
      <c r="H1" s="1108"/>
      <c r="I1" s="1108"/>
      <c r="J1" s="1108"/>
      <c r="K1" s="1108"/>
      <c r="L1" s="1108"/>
      <c r="M1" s="1109"/>
      <c r="N1" s="507"/>
    </row>
    <row r="2" spans="1:25" ht="16.5" customHeight="1" x14ac:dyDescent="0.2">
      <c r="B2" s="575"/>
      <c r="C2" s="575"/>
      <c r="D2" s="575"/>
      <c r="E2" s="575"/>
      <c r="F2" s="575"/>
      <c r="G2" s="575"/>
      <c r="H2" s="575"/>
      <c r="I2" s="575"/>
      <c r="J2" s="575"/>
      <c r="K2" s="237"/>
      <c r="L2" s="575"/>
      <c r="M2" s="575"/>
      <c r="N2" s="507"/>
    </row>
    <row r="3" spans="1:25" ht="16.5" customHeight="1" x14ac:dyDescent="0.25">
      <c r="B3" s="797" t="s">
        <v>396</v>
      </c>
      <c r="C3" s="797"/>
      <c r="D3" s="797"/>
      <c r="E3" s="797"/>
      <c r="F3" s="797"/>
      <c r="G3" s="797"/>
      <c r="H3" s="797"/>
      <c r="I3" s="797"/>
      <c r="J3" s="797"/>
      <c r="K3" s="797"/>
      <c r="L3" s="797"/>
      <c r="M3" s="797"/>
      <c r="N3" s="507"/>
    </row>
    <row r="4" spans="1:25" ht="16.5" customHeight="1" x14ac:dyDescent="0.25">
      <c r="B4" s="797" t="s">
        <v>359</v>
      </c>
      <c r="C4" s="797"/>
      <c r="D4" s="797"/>
      <c r="E4" s="797"/>
      <c r="F4" s="797"/>
      <c r="G4" s="797"/>
      <c r="H4" s="797"/>
      <c r="I4" s="797"/>
      <c r="J4" s="797"/>
      <c r="K4" s="797"/>
      <c r="L4" s="797"/>
      <c r="M4" s="797"/>
      <c r="N4" s="507"/>
    </row>
    <row r="5" spans="1:25" ht="16.5" customHeight="1" x14ac:dyDescent="0.2">
      <c r="B5" s="507"/>
      <c r="C5" s="507"/>
      <c r="D5" s="507"/>
      <c r="E5" s="507"/>
      <c r="F5" s="507"/>
      <c r="G5" s="507"/>
      <c r="H5" s="507"/>
      <c r="I5" s="507"/>
      <c r="J5" s="507"/>
      <c r="K5" s="573"/>
      <c r="L5" s="507"/>
      <c r="M5" s="507"/>
      <c r="N5" s="507"/>
    </row>
    <row r="6" spans="1:25" ht="16.5" customHeight="1" x14ac:dyDescent="0.2">
      <c r="B6" s="507"/>
      <c r="C6" s="507"/>
      <c r="D6" s="366"/>
      <c r="E6" s="366"/>
      <c r="F6" s="366"/>
      <c r="G6" s="305"/>
      <c r="H6" s="305"/>
      <c r="I6" s="366"/>
      <c r="J6" s="366"/>
      <c r="K6" s="367"/>
      <c r="L6" s="507"/>
      <c r="M6" s="507"/>
    </row>
    <row r="7" spans="1:25" ht="16.5" customHeight="1" thickBot="1" x14ac:dyDescent="0.25">
      <c r="B7" s="507"/>
      <c r="C7" s="507"/>
      <c r="D7" s="305"/>
      <c r="E7" s="305"/>
      <c r="F7" s="305"/>
      <c r="G7" s="305"/>
      <c r="H7" s="305"/>
      <c r="I7" s="305"/>
      <c r="J7" s="305"/>
      <c r="K7" s="160"/>
      <c r="L7" s="507"/>
      <c r="M7" s="507"/>
      <c r="N7" s="507"/>
    </row>
    <row r="8" spans="1:25" s="306" customFormat="1" ht="24.95" customHeight="1" thickTop="1" thickBot="1" x14ac:dyDescent="0.25">
      <c r="A8" s="164"/>
      <c r="B8" s="1081" t="s">
        <v>274</v>
      </c>
      <c r="C8" s="1082"/>
      <c r="D8" s="1082"/>
      <c r="E8" s="1082"/>
      <c r="F8" s="1082"/>
      <c r="G8" s="1082"/>
      <c r="H8" s="1082"/>
      <c r="I8" s="1082"/>
      <c r="J8" s="1082"/>
      <c r="K8" s="1082"/>
      <c r="L8" s="1082"/>
      <c r="M8" s="1083"/>
      <c r="N8" s="238" t="s">
        <v>319</v>
      </c>
      <c r="O8" s="164"/>
      <c r="P8" s="164"/>
      <c r="Q8" s="164"/>
      <c r="R8" s="164"/>
      <c r="S8" s="164"/>
      <c r="T8" s="164"/>
      <c r="U8" s="164"/>
      <c r="V8" s="164"/>
      <c r="W8" s="164"/>
      <c r="X8" s="164"/>
      <c r="Y8" s="164"/>
    </row>
    <row r="9" spans="1:25" s="306" customFormat="1" ht="24.95" customHeight="1" thickTop="1" x14ac:dyDescent="0.2">
      <c r="A9" s="164"/>
      <c r="B9" s="241" t="s">
        <v>666</v>
      </c>
      <c r="C9" s="1087">
        <f>'DA7'!H10</f>
        <v>0</v>
      </c>
      <c r="D9" s="1087"/>
      <c r="E9" s="1087"/>
      <c r="F9" s="1087"/>
      <c r="G9" s="1087"/>
      <c r="H9" s="1087"/>
      <c r="I9" s="1087"/>
      <c r="J9" s="1087"/>
      <c r="K9" s="1087"/>
      <c r="L9" s="1087"/>
      <c r="M9" s="1088"/>
      <c r="N9" s="307"/>
      <c r="O9" s="164"/>
      <c r="P9" s="164"/>
      <c r="Q9" s="164"/>
      <c r="R9" s="164"/>
      <c r="S9" s="164"/>
      <c r="T9" s="164"/>
      <c r="U9" s="164"/>
      <c r="V9" s="164"/>
      <c r="W9" s="164"/>
      <c r="X9" s="164"/>
      <c r="Y9" s="164"/>
    </row>
    <row r="10" spans="1:25" s="306" customFormat="1" ht="24.95" customHeight="1" x14ac:dyDescent="0.2">
      <c r="A10" s="164"/>
      <c r="B10" s="241" t="s">
        <v>667</v>
      </c>
      <c r="C10" s="1087">
        <f>'DA7'!H9-'DA7'!H10</f>
        <v>0</v>
      </c>
      <c r="D10" s="1087"/>
      <c r="E10" s="1087"/>
      <c r="F10" s="1087"/>
      <c r="G10" s="1087"/>
      <c r="H10" s="1087"/>
      <c r="I10" s="1087"/>
      <c r="J10" s="1087"/>
      <c r="K10" s="1087"/>
      <c r="L10" s="1087"/>
      <c r="M10" s="1088"/>
      <c r="N10" s="308"/>
      <c r="O10" s="164"/>
      <c r="P10" s="164"/>
      <c r="Q10" s="164"/>
      <c r="R10" s="164"/>
      <c r="S10" s="164"/>
      <c r="T10" s="164"/>
      <c r="U10" s="164"/>
      <c r="V10" s="164"/>
      <c r="W10" s="164"/>
      <c r="X10" s="164"/>
      <c r="Y10" s="164"/>
    </row>
    <row r="11" spans="1:25" s="306" customFormat="1" ht="33" x14ac:dyDescent="0.2">
      <c r="A11" s="164"/>
      <c r="B11" s="286" t="s">
        <v>576</v>
      </c>
      <c r="C11" s="1032" t="e">
        <f>'SITE SUMMARY'!G40</f>
        <v>#VALUE!</v>
      </c>
      <c r="D11" s="1032"/>
      <c r="E11" s="1032"/>
      <c r="F11" s="1032"/>
      <c r="G11" s="1032"/>
      <c r="H11" s="1032"/>
      <c r="I11" s="1032"/>
      <c r="J11" s="1032"/>
      <c r="K11" s="1032"/>
      <c r="L11" s="1032"/>
      <c r="M11" s="1033"/>
      <c r="N11" s="1035" t="s">
        <v>578</v>
      </c>
      <c r="O11" s="164"/>
      <c r="P11" s="164"/>
      <c r="Q11" s="164"/>
      <c r="R11" s="164"/>
      <c r="S11" s="164"/>
      <c r="T11" s="164"/>
      <c r="U11" s="164"/>
      <c r="V11" s="164"/>
      <c r="W11" s="164"/>
      <c r="X11" s="164"/>
      <c r="Y11" s="164"/>
    </row>
    <row r="12" spans="1:25" s="306" customFormat="1" ht="34.5" customHeight="1" x14ac:dyDescent="0.2">
      <c r="A12" s="164"/>
      <c r="B12" s="286" t="s">
        <v>668</v>
      </c>
      <c r="C12" s="1032" t="e">
        <f>IF('SITE SUMMARY'!G35="High",('DA7'!$D$80),0)</f>
        <v>#DIV/0!</v>
      </c>
      <c r="D12" s="1032" t="str">
        <f>IF($G$36="High",('DA1'!$D$80),"NA")</f>
        <v>NA</v>
      </c>
      <c r="E12" s="1032" t="str">
        <f>IF($G$36="High",('DA1'!$D$80),"NA")</f>
        <v>NA</v>
      </c>
      <c r="F12" s="1032" t="str">
        <f>IF($G$36="High",('DA1'!$D$80),"NA")</f>
        <v>NA</v>
      </c>
      <c r="G12" s="1032" t="str">
        <f>IF($G$36="High",('DA1'!$D$80),"NA")</f>
        <v>NA</v>
      </c>
      <c r="H12" s="1032" t="str">
        <f>IF($G$36="High",('DA1'!$D$80),"NA")</f>
        <v>NA</v>
      </c>
      <c r="I12" s="1032" t="str">
        <f>IF($G$36="High",('DA1'!$D$80),"NA")</f>
        <v>NA</v>
      </c>
      <c r="J12" s="1032" t="str">
        <f>IF($G$36="High",('DA1'!$D$80),"NA")</f>
        <v>NA</v>
      </c>
      <c r="K12" s="1032" t="str">
        <f>IF($G$36="High",('DA1'!$D$80),"NA")</f>
        <v>NA</v>
      </c>
      <c r="L12" s="1032" t="str">
        <f>IF($G$36="High",('DA1'!$D$80),"NA")</f>
        <v>NA</v>
      </c>
      <c r="M12" s="1033" t="str">
        <f>IF($G$36="High",('DA1'!$D$80),"NA")</f>
        <v>NA</v>
      </c>
      <c r="N12" s="1035"/>
      <c r="O12" s="164"/>
      <c r="P12" s="164"/>
      <c r="Q12" s="164"/>
      <c r="R12" s="164"/>
      <c r="S12" s="164"/>
      <c r="T12" s="164"/>
      <c r="U12" s="164"/>
      <c r="V12" s="164"/>
      <c r="W12" s="164"/>
      <c r="X12" s="164"/>
      <c r="Y12" s="164"/>
    </row>
    <row r="13" spans="1:25" s="306" customFormat="1" ht="60" x14ac:dyDescent="0.2">
      <c r="A13" s="164"/>
      <c r="B13" s="286" t="s">
        <v>583</v>
      </c>
      <c r="C13" s="364"/>
      <c r="D13" s="1038" t="s">
        <v>565</v>
      </c>
      <c r="E13" s="1039"/>
      <c r="F13" s="1039"/>
      <c r="G13" s="1026"/>
      <c r="H13" s="1027"/>
      <c r="I13" s="1028"/>
      <c r="J13" s="1029" t="s">
        <v>574</v>
      </c>
      <c r="K13" s="1030"/>
      <c r="L13" s="1030"/>
      <c r="M13" s="1031"/>
      <c r="N13" s="608" t="s">
        <v>669</v>
      </c>
      <c r="O13" s="164"/>
      <c r="P13" s="164"/>
      <c r="Q13" s="164"/>
      <c r="R13" s="164"/>
      <c r="S13" s="164"/>
      <c r="T13" s="164"/>
      <c r="U13" s="164"/>
      <c r="V13" s="164"/>
      <c r="W13" s="164"/>
      <c r="X13" s="164"/>
      <c r="Y13" s="164"/>
    </row>
    <row r="14" spans="1:25" s="306" customFormat="1" ht="24.95" customHeight="1" x14ac:dyDescent="0.2">
      <c r="A14" s="164"/>
      <c r="B14" s="1084" t="s">
        <v>320</v>
      </c>
      <c r="C14" s="1085"/>
      <c r="D14" s="1085"/>
      <c r="E14" s="1085"/>
      <c r="F14" s="1085"/>
      <c r="G14" s="1085"/>
      <c r="H14" s="1085"/>
      <c r="I14" s="1085"/>
      <c r="J14" s="1085"/>
      <c r="K14" s="1085"/>
      <c r="L14" s="1085"/>
      <c r="M14" s="1086"/>
      <c r="N14" s="368"/>
      <c r="O14" s="369"/>
      <c r="P14" s="369"/>
      <c r="Q14" s="369"/>
      <c r="R14" s="369"/>
      <c r="S14" s="369"/>
      <c r="T14" s="369"/>
      <c r="U14" s="164"/>
      <c r="V14" s="164"/>
      <c r="W14" s="164"/>
      <c r="X14" s="164"/>
      <c r="Y14" s="164"/>
    </row>
    <row r="15" spans="1:25" s="327" customFormat="1" ht="35.1" customHeight="1" x14ac:dyDescent="0.2">
      <c r="A15" s="326"/>
      <c r="B15" s="1089" t="s">
        <v>273</v>
      </c>
      <c r="C15" s="1090"/>
      <c r="D15" s="1093" t="s">
        <v>670</v>
      </c>
      <c r="E15" s="1093"/>
      <c r="F15" s="1093" t="s">
        <v>671</v>
      </c>
      <c r="G15" s="1093"/>
      <c r="H15" s="1093" t="s">
        <v>672</v>
      </c>
      <c r="I15" s="1093"/>
      <c r="J15" s="1093" t="s">
        <v>673</v>
      </c>
      <c r="K15" s="1093"/>
      <c r="L15" s="1093" t="s">
        <v>674</v>
      </c>
      <c r="M15" s="1115"/>
      <c r="N15" s="1119" t="s">
        <v>741</v>
      </c>
      <c r="O15" s="326"/>
      <c r="P15" s="326"/>
      <c r="Q15" s="326"/>
      <c r="R15" s="326"/>
      <c r="S15" s="326"/>
      <c r="T15" s="326"/>
      <c r="U15" s="326"/>
      <c r="V15" s="326"/>
      <c r="W15" s="326"/>
      <c r="X15" s="326"/>
      <c r="Y15" s="326"/>
    </row>
    <row r="16" spans="1:25" s="327" customFormat="1" x14ac:dyDescent="0.2">
      <c r="A16" s="326"/>
      <c r="B16" s="1089"/>
      <c r="C16" s="1090"/>
      <c r="D16" s="131" t="s">
        <v>281</v>
      </c>
      <c r="E16" s="131" t="s">
        <v>282</v>
      </c>
      <c r="F16" s="131" t="s">
        <v>281</v>
      </c>
      <c r="G16" s="131" t="s">
        <v>282</v>
      </c>
      <c r="H16" s="131" t="s">
        <v>281</v>
      </c>
      <c r="I16" s="131" t="s">
        <v>282</v>
      </c>
      <c r="J16" s="131" t="s">
        <v>281</v>
      </c>
      <c r="K16" s="131" t="s">
        <v>282</v>
      </c>
      <c r="L16" s="131" t="s">
        <v>281</v>
      </c>
      <c r="M16" s="240" t="s">
        <v>282</v>
      </c>
      <c r="N16" s="1119"/>
      <c r="O16" s="326"/>
      <c r="P16" s="326"/>
      <c r="Q16" s="326"/>
      <c r="R16" s="326"/>
      <c r="S16" s="326"/>
      <c r="T16" s="326"/>
      <c r="U16" s="326"/>
      <c r="V16" s="326"/>
      <c r="W16" s="326"/>
      <c r="X16" s="326"/>
      <c r="Y16" s="326"/>
    </row>
    <row r="17" spans="1:25" s="327" customFormat="1" ht="24.95" customHeight="1" x14ac:dyDescent="0.2">
      <c r="A17" s="326"/>
      <c r="B17" s="1091" t="s">
        <v>12</v>
      </c>
      <c r="C17" s="1092"/>
      <c r="D17" s="364"/>
      <c r="E17" s="364"/>
      <c r="F17" s="364"/>
      <c r="G17" s="364"/>
      <c r="H17" s="364"/>
      <c r="I17" s="364"/>
      <c r="J17" s="364"/>
      <c r="K17" s="364"/>
      <c r="L17" s="364"/>
      <c r="M17" s="365"/>
      <c r="N17" s="1119"/>
      <c r="O17" s="326"/>
      <c r="P17" s="326"/>
      <c r="Q17" s="326"/>
      <c r="R17" s="326"/>
      <c r="S17" s="326"/>
      <c r="T17" s="326"/>
      <c r="U17" s="326"/>
      <c r="V17" s="326"/>
      <c r="W17" s="326"/>
      <c r="X17" s="326"/>
      <c r="Y17" s="326"/>
    </row>
    <row r="18" spans="1:25" s="327" customFormat="1" ht="24.95" customHeight="1" x14ac:dyDescent="0.2">
      <c r="A18" s="326"/>
      <c r="B18" s="1091" t="s">
        <v>253</v>
      </c>
      <c r="C18" s="1092"/>
      <c r="D18" s="364"/>
      <c r="E18" s="364"/>
      <c r="F18" s="364"/>
      <c r="G18" s="364"/>
      <c r="H18" s="364"/>
      <c r="I18" s="364"/>
      <c r="J18" s="364"/>
      <c r="K18" s="364"/>
      <c r="L18" s="364"/>
      <c r="M18" s="365"/>
      <c r="N18" s="1119"/>
      <c r="O18" s="326"/>
      <c r="P18" s="326"/>
      <c r="Q18" s="326"/>
      <c r="R18" s="326"/>
      <c r="S18" s="326"/>
      <c r="T18" s="326"/>
      <c r="U18" s="326"/>
      <c r="V18" s="326"/>
      <c r="W18" s="326"/>
      <c r="X18" s="326"/>
      <c r="Y18" s="326"/>
    </row>
    <row r="19" spans="1:25" s="327" customFormat="1" ht="24.95" customHeight="1" x14ac:dyDescent="0.2">
      <c r="A19" s="326"/>
      <c r="B19" s="1091" t="s">
        <v>260</v>
      </c>
      <c r="C19" s="1092"/>
      <c r="D19" s="364"/>
      <c r="E19" s="364"/>
      <c r="F19" s="364"/>
      <c r="G19" s="364"/>
      <c r="H19" s="364"/>
      <c r="I19" s="364"/>
      <c r="J19" s="364"/>
      <c r="K19" s="364"/>
      <c r="L19" s="364"/>
      <c r="M19" s="365"/>
      <c r="N19" s="1119"/>
      <c r="O19" s="326"/>
      <c r="P19" s="326"/>
      <c r="Q19" s="326"/>
      <c r="R19" s="326"/>
      <c r="S19" s="326"/>
      <c r="T19" s="326"/>
      <c r="U19" s="326"/>
      <c r="V19" s="326"/>
      <c r="W19" s="326"/>
      <c r="X19" s="326"/>
      <c r="Y19" s="326"/>
    </row>
    <row r="20" spans="1:25" s="327" customFormat="1" ht="24.95" customHeight="1" x14ac:dyDescent="0.2">
      <c r="A20" s="326"/>
      <c r="B20" s="1091" t="s">
        <v>254</v>
      </c>
      <c r="C20" s="1092"/>
      <c r="D20" s="364"/>
      <c r="E20" s="364"/>
      <c r="F20" s="364"/>
      <c r="G20" s="364"/>
      <c r="H20" s="364"/>
      <c r="I20" s="364"/>
      <c r="J20" s="364"/>
      <c r="K20" s="364"/>
      <c r="L20" s="364"/>
      <c r="M20" s="365"/>
      <c r="N20" s="1119"/>
      <c r="O20" s="326"/>
      <c r="P20" s="326"/>
      <c r="Q20" s="326"/>
      <c r="R20" s="326"/>
      <c r="S20" s="326"/>
      <c r="T20" s="326"/>
      <c r="U20" s="326"/>
      <c r="V20" s="326"/>
      <c r="W20" s="326"/>
      <c r="X20" s="326"/>
      <c r="Y20" s="326"/>
    </row>
    <row r="21" spans="1:25" s="327" customFormat="1" ht="24.95" customHeight="1" x14ac:dyDescent="0.2">
      <c r="A21" s="326"/>
      <c r="B21" s="1091" t="s">
        <v>255</v>
      </c>
      <c r="C21" s="1092"/>
      <c r="D21" s="364"/>
      <c r="E21" s="364"/>
      <c r="F21" s="364"/>
      <c r="G21" s="364"/>
      <c r="H21" s="364"/>
      <c r="I21" s="364"/>
      <c r="J21" s="364"/>
      <c r="K21" s="364"/>
      <c r="L21" s="364"/>
      <c r="M21" s="365"/>
      <c r="N21" s="1119"/>
      <c r="O21" s="326"/>
      <c r="P21" s="326"/>
      <c r="Q21" s="326"/>
      <c r="R21" s="326"/>
      <c r="S21" s="326"/>
      <c r="T21" s="326"/>
      <c r="U21" s="326"/>
      <c r="V21" s="326"/>
      <c r="W21" s="326"/>
      <c r="X21" s="326"/>
      <c r="Y21" s="326"/>
    </row>
    <row r="22" spans="1:25" ht="24.95" customHeight="1" x14ac:dyDescent="0.2">
      <c r="B22" s="1091" t="s">
        <v>256</v>
      </c>
      <c r="C22" s="1092"/>
      <c r="D22" s="364"/>
      <c r="E22" s="364"/>
      <c r="F22" s="364"/>
      <c r="G22" s="364"/>
      <c r="H22" s="364"/>
      <c r="I22" s="364"/>
      <c r="J22" s="364"/>
      <c r="K22" s="364"/>
      <c r="L22" s="364"/>
      <c r="M22" s="365"/>
      <c r="N22" s="1119"/>
    </row>
    <row r="23" spans="1:25" ht="24.95" customHeight="1" x14ac:dyDescent="0.2">
      <c r="B23" s="1091" t="s">
        <v>257</v>
      </c>
      <c r="C23" s="1092"/>
      <c r="D23" s="364"/>
      <c r="E23" s="364"/>
      <c r="F23" s="364"/>
      <c r="G23" s="364"/>
      <c r="H23" s="364"/>
      <c r="I23" s="364"/>
      <c r="J23" s="364"/>
      <c r="K23" s="364"/>
      <c r="L23" s="364"/>
      <c r="M23" s="365"/>
      <c r="N23" s="370"/>
    </row>
    <row r="24" spans="1:25" ht="24.95" customHeight="1" x14ac:dyDescent="0.2">
      <c r="B24" s="1091" t="s">
        <v>245</v>
      </c>
      <c r="C24" s="1092"/>
      <c r="D24" s="364"/>
      <c r="E24" s="364"/>
      <c r="F24" s="364"/>
      <c r="G24" s="364"/>
      <c r="H24" s="364"/>
      <c r="I24" s="364"/>
      <c r="J24" s="364"/>
      <c r="K24" s="364"/>
      <c r="L24" s="364"/>
      <c r="M24" s="365"/>
      <c r="N24" s="370"/>
    </row>
    <row r="25" spans="1:25" ht="24.95" customHeight="1" x14ac:dyDescent="0.2">
      <c r="B25" s="1091" t="s">
        <v>44</v>
      </c>
      <c r="C25" s="1092"/>
      <c r="D25" s="364"/>
      <c r="E25" s="364"/>
      <c r="F25" s="364"/>
      <c r="G25" s="364"/>
      <c r="H25" s="364"/>
      <c r="I25" s="364"/>
      <c r="J25" s="364"/>
      <c r="K25" s="364"/>
      <c r="L25" s="364"/>
      <c r="M25" s="365"/>
      <c r="N25" s="446" t="str">
        <f>IF(SUM( D17:D25,F17:F25,H17:H25,J17:J25,L17:L25)=C9,"","DOES NOT MATCH SITE ACREAGES")</f>
        <v/>
      </c>
    </row>
    <row r="26" spans="1:25" s="373" customFormat="1" ht="15.75" hidden="1" x14ac:dyDescent="0.25">
      <c r="A26" s="574"/>
      <c r="B26" s="371" t="s">
        <v>291</v>
      </c>
      <c r="C26" s="372"/>
      <c r="D26" s="315">
        <f>SUM(D17:D25)</f>
        <v>0</v>
      </c>
      <c r="E26" s="315">
        <f t="shared" ref="E26:M26" si="0">SUM(E17:E25)</f>
        <v>0</v>
      </c>
      <c r="F26" s="315">
        <f t="shared" si="0"/>
        <v>0</v>
      </c>
      <c r="G26" s="315">
        <f t="shared" si="0"/>
        <v>0</v>
      </c>
      <c r="H26" s="315">
        <f t="shared" si="0"/>
        <v>0</v>
      </c>
      <c r="I26" s="315">
        <f t="shared" si="0"/>
        <v>0</v>
      </c>
      <c r="J26" s="315">
        <f t="shared" si="0"/>
        <v>0</v>
      </c>
      <c r="K26" s="315">
        <f t="shared" si="0"/>
        <v>0</v>
      </c>
      <c r="L26" s="315">
        <f t="shared" si="0"/>
        <v>0</v>
      </c>
      <c r="M26" s="316">
        <f t="shared" si="0"/>
        <v>0</v>
      </c>
      <c r="N26" s="330"/>
      <c r="O26" s="574"/>
      <c r="P26" s="574"/>
      <c r="Q26" s="574"/>
      <c r="R26" s="574"/>
      <c r="S26" s="574"/>
      <c r="T26" s="574"/>
      <c r="U26" s="574"/>
      <c r="V26" s="574"/>
      <c r="W26" s="574"/>
      <c r="X26" s="574"/>
      <c r="Y26" s="574"/>
    </row>
    <row r="27" spans="1:25" s="306" customFormat="1" ht="15.75" x14ac:dyDescent="0.2">
      <c r="A27" s="164"/>
      <c r="B27" s="953" t="s">
        <v>286</v>
      </c>
      <c r="C27" s="954"/>
      <c r="D27" s="954"/>
      <c r="E27" s="954"/>
      <c r="F27" s="954"/>
      <c r="G27" s="954"/>
      <c r="H27" s="954"/>
      <c r="I27" s="954"/>
      <c r="J27" s="954"/>
      <c r="K27" s="954"/>
      <c r="L27" s="954"/>
      <c r="M27" s="955"/>
      <c r="N27" s="324"/>
      <c r="O27" s="164"/>
      <c r="P27" s="164"/>
      <c r="Q27" s="164"/>
      <c r="R27" s="164"/>
      <c r="S27" s="164"/>
      <c r="T27" s="164"/>
      <c r="U27" s="164"/>
      <c r="V27" s="164"/>
      <c r="W27" s="164"/>
      <c r="X27" s="164"/>
      <c r="Y27" s="164"/>
    </row>
    <row r="28" spans="1:25" s="507" customFormat="1" ht="79.5" customHeight="1" x14ac:dyDescent="0.2">
      <c r="B28" s="374" t="s">
        <v>318</v>
      </c>
      <c r="C28" s="375" t="s">
        <v>284</v>
      </c>
      <c r="D28" s="1034" t="s">
        <v>568</v>
      </c>
      <c r="E28" s="1034"/>
      <c r="F28" s="1034"/>
      <c r="G28" s="1040" t="s">
        <v>567</v>
      </c>
      <c r="H28" s="1041"/>
      <c r="I28" s="1042"/>
      <c r="J28" s="631" t="s">
        <v>269</v>
      </c>
      <c r="K28" s="631" t="s">
        <v>491</v>
      </c>
      <c r="L28" s="631" t="s">
        <v>492</v>
      </c>
      <c r="M28" s="376" t="s">
        <v>322</v>
      </c>
      <c r="N28" s="377" t="s">
        <v>321</v>
      </c>
    </row>
    <row r="29" spans="1:25" ht="24.95" customHeight="1" x14ac:dyDescent="0.2">
      <c r="B29" s="562"/>
      <c r="C29" s="400"/>
      <c r="D29" s="1043" t="e">
        <f>IF('SITE SUMMARY'!$G$35="High",E151,"-")</f>
        <v>#DIV/0!</v>
      </c>
      <c r="E29" s="1044"/>
      <c r="F29" s="1045"/>
      <c r="G29" s="1120"/>
      <c r="H29" s="1121"/>
      <c r="I29" s="1122"/>
      <c r="J29" s="378">
        <f>IF(ISERROR(VLOOKUP(C29,BMP,2,FALSE)),0,VLOOKUP(C29,BMP,2,FALSE))</f>
        <v>0</v>
      </c>
      <c r="K29" s="625">
        <f>IF(ISERROR($E$114),0,$E$114)</f>
        <v>0</v>
      </c>
      <c r="L29" s="625">
        <f>IF(ISERROR(K29*J29),0,K29*J29)</f>
        <v>0</v>
      </c>
      <c r="M29" s="401"/>
      <c r="N29" s="377"/>
      <c r="O29" s="379"/>
      <c r="P29" s="379"/>
      <c r="Q29" s="379"/>
      <c r="R29" s="379"/>
      <c r="S29" s="379"/>
      <c r="T29" s="379"/>
    </row>
    <row r="30" spans="1:25" ht="24.95" customHeight="1" x14ac:dyDescent="0.2">
      <c r="B30" s="563"/>
      <c r="C30" s="400"/>
      <c r="D30" s="1046"/>
      <c r="E30" s="1047"/>
      <c r="F30" s="1048"/>
      <c r="G30" s="1123"/>
      <c r="H30" s="1124"/>
      <c r="I30" s="1125"/>
      <c r="J30" s="378">
        <f>IF(ISERROR(VLOOKUP(C30,BMP,2,FALSE)),0,VLOOKUP(C30,BMP,2,FALSE))</f>
        <v>0</v>
      </c>
      <c r="K30" s="625">
        <f>IF(ISERROR(K29-L29),0,K29-L29)</f>
        <v>0</v>
      </c>
      <c r="L30" s="625">
        <f>IF(ISERROR(K30*J30),0,K30*J30)</f>
        <v>0</v>
      </c>
      <c r="M30" s="401"/>
      <c r="N30" s="380"/>
    </row>
    <row r="31" spans="1:25" ht="24.95" customHeight="1" x14ac:dyDescent="0.2">
      <c r="B31" s="563"/>
      <c r="C31" s="400"/>
      <c r="D31" s="1046"/>
      <c r="E31" s="1047"/>
      <c r="F31" s="1048"/>
      <c r="G31" s="1123"/>
      <c r="H31" s="1124"/>
      <c r="I31" s="1125"/>
      <c r="J31" s="378">
        <f>IF(ISERROR(VLOOKUP(C31,BMP,2,FALSE)),0,VLOOKUP(C31,BMP,2,FALSE))</f>
        <v>0</v>
      </c>
      <c r="K31" s="625">
        <f>IF(ISERROR(K30-L30),0,K30-L30)</f>
        <v>0</v>
      </c>
      <c r="L31" s="625">
        <f>IF(ISERROR(K31*J31),0,K31*J31)</f>
        <v>0</v>
      </c>
      <c r="M31" s="401"/>
      <c r="N31" s="380"/>
    </row>
    <row r="32" spans="1:25" ht="24.95" customHeight="1" x14ac:dyDescent="0.2">
      <c r="B32" s="563"/>
      <c r="C32" s="400"/>
      <c r="D32" s="1046"/>
      <c r="E32" s="1047"/>
      <c r="F32" s="1048"/>
      <c r="G32" s="1123"/>
      <c r="H32" s="1124"/>
      <c r="I32" s="1125"/>
      <c r="J32" s="378">
        <f>IF(ISERROR(VLOOKUP(C32,BMP,2,FALSE)),0,VLOOKUP(C32,BMP,2,FALSE))</f>
        <v>0</v>
      </c>
      <c r="K32" s="625">
        <f>IF(ISERROR(K31-L31),0,K31-L31)</f>
        <v>0</v>
      </c>
      <c r="L32" s="625">
        <f>IF(ISERROR(K32*J32),0,K32*J32)</f>
        <v>0</v>
      </c>
      <c r="M32" s="401"/>
      <c r="N32" s="380"/>
    </row>
    <row r="33" spans="1:25" ht="24.95" customHeight="1" x14ac:dyDescent="0.2">
      <c r="B33" s="563"/>
      <c r="C33" s="400"/>
      <c r="D33" s="1049"/>
      <c r="E33" s="1050"/>
      <c r="F33" s="1051"/>
      <c r="G33" s="1126"/>
      <c r="H33" s="1127"/>
      <c r="I33" s="1128"/>
      <c r="J33" s="378">
        <f>IF(ISERROR(VLOOKUP(C33,BMP,2,FALSE)),0,VLOOKUP(C33,BMP,2,FALSE))</f>
        <v>0</v>
      </c>
      <c r="K33" s="625">
        <f>IF(ISERROR(K32-L32),0,K32-L32)</f>
        <v>0</v>
      </c>
      <c r="L33" s="625">
        <f>IF(ISERROR(K33*J33),0,K33*J33)</f>
        <v>0</v>
      </c>
      <c r="M33" s="401"/>
      <c r="N33" s="381"/>
    </row>
    <row r="34" spans="1:25" ht="24.95" customHeight="1" x14ac:dyDescent="0.2">
      <c r="B34" s="1052" t="s">
        <v>371</v>
      </c>
      <c r="C34" s="1053"/>
      <c r="D34" s="1054">
        <f>IF(J33&gt;0,K306-L33,IF(J32&gt;0,K32-L32,IF(J31&gt;0,K31-L31,IF(J30&gt;0,K30-L30,K29-L29))))</f>
        <v>0</v>
      </c>
      <c r="E34" s="1055"/>
      <c r="F34" s="1055"/>
      <c r="G34" s="1055"/>
      <c r="H34" s="1055"/>
      <c r="I34" s="1055"/>
      <c r="J34" s="1055"/>
      <c r="K34" s="1055"/>
      <c r="L34" s="1055"/>
      <c r="M34" s="1056"/>
      <c r="N34" s="382"/>
    </row>
    <row r="35" spans="1:25" s="306" customFormat="1" ht="24.95" customHeight="1" x14ac:dyDescent="0.2">
      <c r="A35" s="164"/>
      <c r="B35" s="953" t="s">
        <v>285</v>
      </c>
      <c r="C35" s="954"/>
      <c r="D35" s="954"/>
      <c r="E35" s="954"/>
      <c r="F35" s="954"/>
      <c r="G35" s="954"/>
      <c r="H35" s="954"/>
      <c r="I35" s="954"/>
      <c r="J35" s="954"/>
      <c r="K35" s="954"/>
      <c r="L35" s="954"/>
      <c r="M35" s="955"/>
      <c r="N35" s="382"/>
      <c r="O35" s="164"/>
      <c r="P35" s="164"/>
      <c r="Q35" s="164"/>
      <c r="R35" s="164"/>
      <c r="S35" s="164"/>
      <c r="T35" s="164"/>
      <c r="U35" s="164"/>
      <c r="V35" s="164"/>
      <c r="W35" s="164"/>
      <c r="X35" s="164"/>
      <c r="Y35" s="164"/>
    </row>
    <row r="36" spans="1:25" s="507" customFormat="1" ht="39.75" customHeight="1" x14ac:dyDescent="0.2">
      <c r="B36" s="1019" t="s">
        <v>584</v>
      </c>
      <c r="C36" s="1020"/>
      <c r="D36" s="1057"/>
      <c r="E36" s="1058"/>
      <c r="F36" s="1058"/>
      <c r="G36" s="1058"/>
      <c r="H36" s="1058"/>
      <c r="I36" s="1058"/>
      <c r="J36" s="1058"/>
      <c r="K36" s="1058"/>
      <c r="L36" s="1058"/>
      <c r="M36" s="1059"/>
      <c r="N36" s="382"/>
    </row>
    <row r="37" spans="1:25" s="507" customFormat="1" ht="39.75" hidden="1" customHeight="1" x14ac:dyDescent="0.2">
      <c r="B37" s="1019" t="s">
        <v>585</v>
      </c>
      <c r="C37" s="1020"/>
      <c r="D37" s="1129"/>
      <c r="E37" s="1130"/>
      <c r="F37" s="1130"/>
      <c r="G37" s="1130"/>
      <c r="H37" s="1130"/>
      <c r="I37" s="1130"/>
      <c r="J37" s="1130"/>
      <c r="K37" s="1130"/>
      <c r="L37" s="1130"/>
      <c r="M37" s="1131"/>
      <c r="N37" s="382"/>
    </row>
    <row r="38" spans="1:25" s="507" customFormat="1" ht="79.5" customHeight="1" x14ac:dyDescent="0.2">
      <c r="B38" s="374" t="s">
        <v>318</v>
      </c>
      <c r="C38" s="375" t="s">
        <v>284</v>
      </c>
      <c r="D38" s="1034" t="s">
        <v>568</v>
      </c>
      <c r="E38" s="1034"/>
      <c r="F38" s="1034"/>
      <c r="G38" s="1034" t="s">
        <v>490</v>
      </c>
      <c r="H38" s="1034"/>
      <c r="I38" s="1034"/>
      <c r="J38" s="631" t="s">
        <v>269</v>
      </c>
      <c r="K38" s="631" t="s">
        <v>491</v>
      </c>
      <c r="L38" s="631" t="s">
        <v>492</v>
      </c>
      <c r="M38" s="376" t="s">
        <v>322</v>
      </c>
      <c r="N38" s="382"/>
    </row>
    <row r="39" spans="1:25" ht="24.95" customHeight="1" x14ac:dyDescent="0.2">
      <c r="B39" s="399"/>
      <c r="C39" s="400"/>
      <c r="D39" s="1043" t="e">
        <f>IF('SITE SUMMARY'!$G$35="High",E155,"-")</f>
        <v>#DIV/0!</v>
      </c>
      <c r="E39" s="1044"/>
      <c r="F39" s="1045"/>
      <c r="G39" s="1060"/>
      <c r="H39" s="1061"/>
      <c r="I39" s="1062"/>
      <c r="J39" s="378">
        <f>IF(ISERROR(VLOOKUP(C39,BMP,2,FALSE)),0,VLOOKUP(C39,BMP,2,FALSE))</f>
        <v>0</v>
      </c>
      <c r="K39" s="625">
        <f>IF(ISERROR($F$114),D36,$F$114+D36)</f>
        <v>0</v>
      </c>
      <c r="L39" s="625">
        <f>IF(ISERROR(K39*J39),0,K39*J39)</f>
        <v>0</v>
      </c>
      <c r="M39" s="401"/>
      <c r="N39" s="382"/>
      <c r="O39" s="379"/>
      <c r="P39" s="379"/>
      <c r="Q39" s="379"/>
      <c r="R39" s="379"/>
      <c r="S39" s="379"/>
      <c r="T39" s="379"/>
    </row>
    <row r="40" spans="1:25" ht="24.95" customHeight="1" x14ac:dyDescent="0.2">
      <c r="B40" s="399"/>
      <c r="C40" s="400"/>
      <c r="D40" s="1046"/>
      <c r="E40" s="1047"/>
      <c r="F40" s="1048"/>
      <c r="G40" s="1063"/>
      <c r="H40" s="1064"/>
      <c r="I40" s="1065"/>
      <c r="J40" s="378">
        <f>IF(ISERROR(VLOOKUP(C40,BMP,2,FALSE)),0,VLOOKUP(C40,BMP,2,FALSE))</f>
        <v>0</v>
      </c>
      <c r="K40" s="625">
        <f>IF(ISERROR(K39-L39),0,K39-L39)</f>
        <v>0</v>
      </c>
      <c r="L40" s="625">
        <f>IF(ISERROR(K40*J40),0,K40*J40)</f>
        <v>0</v>
      </c>
      <c r="M40" s="401"/>
      <c r="N40" s="382"/>
    </row>
    <row r="41" spans="1:25" ht="24.75" customHeight="1" x14ac:dyDescent="0.2">
      <c r="B41" s="399"/>
      <c r="C41" s="400"/>
      <c r="D41" s="1046"/>
      <c r="E41" s="1047"/>
      <c r="F41" s="1048"/>
      <c r="G41" s="1063"/>
      <c r="H41" s="1064"/>
      <c r="I41" s="1065"/>
      <c r="J41" s="378">
        <f>IF(ISERROR(VLOOKUP(C41,BMP,2,FALSE)),0,VLOOKUP(C41,BMP,2,FALSE))</f>
        <v>0</v>
      </c>
      <c r="K41" s="625">
        <f>IF(ISERROR(K40-L40),0,K40-L40)</f>
        <v>0</v>
      </c>
      <c r="L41" s="625">
        <f>IF(ISERROR(K41*J41),0,K41*J41)</f>
        <v>0</v>
      </c>
      <c r="M41" s="401"/>
      <c r="N41" s="382"/>
    </row>
    <row r="42" spans="1:25" ht="24.95" customHeight="1" x14ac:dyDescent="0.2">
      <c r="B42" s="399"/>
      <c r="C42" s="400"/>
      <c r="D42" s="1046"/>
      <c r="E42" s="1047"/>
      <c r="F42" s="1048"/>
      <c r="G42" s="1063"/>
      <c r="H42" s="1064"/>
      <c r="I42" s="1065"/>
      <c r="J42" s="378">
        <f>IF(ISERROR(VLOOKUP(C42,BMP,2,FALSE)),0,VLOOKUP(C42,BMP,2,FALSE))</f>
        <v>0</v>
      </c>
      <c r="K42" s="625">
        <f>IF(ISERROR(K41-L41),0,K41-L41)</f>
        <v>0</v>
      </c>
      <c r="L42" s="625">
        <f>IF(ISERROR(K42*J42),0,K42*J42)</f>
        <v>0</v>
      </c>
      <c r="M42" s="401"/>
      <c r="N42" s="382"/>
    </row>
    <row r="43" spans="1:25" ht="24.95" customHeight="1" x14ac:dyDescent="0.2">
      <c r="B43" s="399"/>
      <c r="C43" s="400"/>
      <c r="D43" s="1049"/>
      <c r="E43" s="1050"/>
      <c r="F43" s="1051"/>
      <c r="G43" s="1066"/>
      <c r="H43" s="1067"/>
      <c r="I43" s="1068"/>
      <c r="J43" s="378">
        <f>IF(ISERROR(VLOOKUP(C43,BMP,2,FALSE)),0,VLOOKUP(C43,BMP,2,FALSE))</f>
        <v>0</v>
      </c>
      <c r="K43" s="625">
        <f>IF(ISERROR(K42-L42),0,K42-L42)</f>
        <v>0</v>
      </c>
      <c r="L43" s="625">
        <f>IF(ISERROR(K43*J43),0,K43*J43)</f>
        <v>0</v>
      </c>
      <c r="M43" s="401"/>
      <c r="N43" s="381"/>
    </row>
    <row r="44" spans="1:25" ht="24.95" customHeight="1" x14ac:dyDescent="0.2">
      <c r="B44" s="1052" t="s">
        <v>371</v>
      </c>
      <c r="C44" s="1053"/>
      <c r="D44" s="1054">
        <f>IF(J43&gt;0,K43-L43,IF(J42&gt;0,K42-L42,IF(J41&gt;0,K41-L41,IF(J40&gt;0,K40-L40,K39-L39))))</f>
        <v>0</v>
      </c>
      <c r="E44" s="1055"/>
      <c r="F44" s="1055"/>
      <c r="G44" s="1055"/>
      <c r="H44" s="1055"/>
      <c r="I44" s="1055"/>
      <c r="J44" s="1055"/>
      <c r="K44" s="1055"/>
      <c r="L44" s="1055"/>
      <c r="M44" s="1056"/>
      <c r="N44" s="382"/>
    </row>
    <row r="45" spans="1:25" s="306" customFormat="1" ht="24.95" customHeight="1" x14ac:dyDescent="0.2">
      <c r="A45" s="164"/>
      <c r="B45" s="953" t="s">
        <v>298</v>
      </c>
      <c r="C45" s="954"/>
      <c r="D45" s="954"/>
      <c r="E45" s="954"/>
      <c r="F45" s="954"/>
      <c r="G45" s="954"/>
      <c r="H45" s="954"/>
      <c r="I45" s="954"/>
      <c r="J45" s="954"/>
      <c r="K45" s="954"/>
      <c r="L45" s="954"/>
      <c r="M45" s="955"/>
      <c r="N45" s="382"/>
      <c r="O45" s="164"/>
      <c r="P45" s="164"/>
      <c r="Q45" s="164"/>
      <c r="R45" s="164"/>
      <c r="S45" s="164"/>
      <c r="T45" s="164"/>
      <c r="U45" s="164"/>
      <c r="V45" s="164"/>
      <c r="W45" s="164"/>
      <c r="X45" s="164"/>
      <c r="Y45" s="164"/>
    </row>
    <row r="46" spans="1:25" s="507" customFormat="1" ht="39.950000000000003" customHeight="1" x14ac:dyDescent="0.2">
      <c r="B46" s="1019" t="s">
        <v>586</v>
      </c>
      <c r="C46" s="1020"/>
      <c r="D46" s="1057"/>
      <c r="E46" s="1058"/>
      <c r="F46" s="1058"/>
      <c r="G46" s="1058"/>
      <c r="H46" s="1058"/>
      <c r="I46" s="1058"/>
      <c r="J46" s="1058"/>
      <c r="K46" s="1058"/>
      <c r="L46" s="1058"/>
      <c r="M46" s="1059"/>
      <c r="N46" s="382"/>
    </row>
    <row r="47" spans="1:25" s="507" customFormat="1" ht="39.950000000000003" hidden="1" customHeight="1" x14ac:dyDescent="0.2">
      <c r="B47" s="1019" t="s">
        <v>587</v>
      </c>
      <c r="C47" s="1020"/>
      <c r="D47" s="1129"/>
      <c r="E47" s="1130"/>
      <c r="F47" s="1130"/>
      <c r="G47" s="1130"/>
      <c r="H47" s="1130"/>
      <c r="I47" s="1130"/>
      <c r="J47" s="1130"/>
      <c r="K47" s="1130"/>
      <c r="L47" s="1130"/>
      <c r="M47" s="1131"/>
      <c r="N47" s="382"/>
    </row>
    <row r="48" spans="1:25" s="507" customFormat="1" ht="79.5" customHeight="1" x14ac:dyDescent="0.2">
      <c r="B48" s="374" t="s">
        <v>318</v>
      </c>
      <c r="C48" s="375" t="s">
        <v>284</v>
      </c>
      <c r="D48" s="1034" t="s">
        <v>568</v>
      </c>
      <c r="E48" s="1034"/>
      <c r="F48" s="1034"/>
      <c r="G48" s="1040" t="s">
        <v>490</v>
      </c>
      <c r="H48" s="1041"/>
      <c r="I48" s="1042"/>
      <c r="J48" s="631" t="s">
        <v>269</v>
      </c>
      <c r="K48" s="631" t="s">
        <v>491</v>
      </c>
      <c r="L48" s="631" t="s">
        <v>492</v>
      </c>
      <c r="M48" s="376" t="s">
        <v>322</v>
      </c>
      <c r="N48" s="382"/>
    </row>
    <row r="49" spans="1:25" ht="24.95" customHeight="1" x14ac:dyDescent="0.2">
      <c r="B49" s="399"/>
      <c r="C49" s="400"/>
      <c r="D49" s="1043" t="e">
        <f>IF('SITE SUMMARY'!$G$35="High",E159,"-")</f>
        <v>#DIV/0!</v>
      </c>
      <c r="E49" s="1044"/>
      <c r="F49" s="1045"/>
      <c r="G49" s="1060"/>
      <c r="H49" s="1061"/>
      <c r="I49" s="1062"/>
      <c r="J49" s="378">
        <f>IF(ISERROR(VLOOKUP(C49,BMP,2,FALSE)),0,VLOOKUP(C49,BMP,2,FALSE))</f>
        <v>0</v>
      </c>
      <c r="K49" s="625">
        <f>IF(ISERROR($G$114),D46,$G$114+D46)</f>
        <v>0</v>
      </c>
      <c r="L49" s="625">
        <f>IF(ISERROR(K49*J49),0,K49*J49)</f>
        <v>0</v>
      </c>
      <c r="M49" s="401"/>
      <c r="N49" s="382"/>
      <c r="O49" s="379"/>
      <c r="P49" s="379"/>
      <c r="Q49" s="379"/>
      <c r="R49" s="379"/>
      <c r="S49" s="379"/>
      <c r="T49" s="379"/>
    </row>
    <row r="50" spans="1:25" ht="24.95" customHeight="1" x14ac:dyDescent="0.2">
      <c r="B50" s="399"/>
      <c r="C50" s="400"/>
      <c r="D50" s="1046"/>
      <c r="E50" s="1047"/>
      <c r="F50" s="1048"/>
      <c r="G50" s="1063"/>
      <c r="H50" s="1064"/>
      <c r="I50" s="1065"/>
      <c r="J50" s="378">
        <f>IF(ISERROR(VLOOKUP(C50,BMP,2,FALSE)),0,VLOOKUP(C50,BMP,2,FALSE))</f>
        <v>0</v>
      </c>
      <c r="K50" s="625">
        <f>IF(ISERROR(K49-L49),0,K49-L49)</f>
        <v>0</v>
      </c>
      <c r="L50" s="625">
        <f>IF(ISERROR(K50*J50),0,K50*J50)</f>
        <v>0</v>
      </c>
      <c r="M50" s="401"/>
      <c r="N50" s="382"/>
    </row>
    <row r="51" spans="1:25" ht="24.95" customHeight="1" x14ac:dyDescent="0.2">
      <c r="B51" s="399"/>
      <c r="C51" s="400"/>
      <c r="D51" s="1046"/>
      <c r="E51" s="1047"/>
      <c r="F51" s="1048"/>
      <c r="G51" s="1063"/>
      <c r="H51" s="1064"/>
      <c r="I51" s="1065"/>
      <c r="J51" s="378">
        <f>IF(ISERROR(VLOOKUP(C51,BMP,2,FALSE)),0,VLOOKUP(C51,BMP,2,FALSE))</f>
        <v>0</v>
      </c>
      <c r="K51" s="625">
        <f>IF(ISERROR(K50-L50),0,K50-L50)</f>
        <v>0</v>
      </c>
      <c r="L51" s="625">
        <f>IF(ISERROR(K51*J51),0,K51*J51)</f>
        <v>0</v>
      </c>
      <c r="M51" s="401"/>
      <c r="N51" s="382"/>
    </row>
    <row r="52" spans="1:25" ht="24.95" customHeight="1" x14ac:dyDescent="0.2">
      <c r="B52" s="399"/>
      <c r="C52" s="400"/>
      <c r="D52" s="1046"/>
      <c r="E52" s="1047"/>
      <c r="F52" s="1048"/>
      <c r="G52" s="1063"/>
      <c r="H52" s="1064"/>
      <c r="I52" s="1065"/>
      <c r="J52" s="378">
        <f>IF(ISERROR(VLOOKUP(C52,BMP,2,FALSE)),0,VLOOKUP(C52,BMP,2,FALSE))</f>
        <v>0</v>
      </c>
      <c r="K52" s="625">
        <f>IF(ISERROR(K51-L51),0,K51-L51)</f>
        <v>0</v>
      </c>
      <c r="L52" s="625">
        <f>IF(ISERROR(K52*J52),0,K52*J52)</f>
        <v>0</v>
      </c>
      <c r="M52" s="401"/>
      <c r="N52" s="382"/>
    </row>
    <row r="53" spans="1:25" ht="24.95" customHeight="1" x14ac:dyDescent="0.2">
      <c r="B53" s="399"/>
      <c r="C53" s="400"/>
      <c r="D53" s="1049"/>
      <c r="E53" s="1050"/>
      <c r="F53" s="1051"/>
      <c r="G53" s="1066"/>
      <c r="H53" s="1067"/>
      <c r="I53" s="1068"/>
      <c r="J53" s="378">
        <f>IF(ISERROR(VLOOKUP(C53,BMP,2,FALSE)),0,VLOOKUP(C53,BMP,2,FALSE))</f>
        <v>0</v>
      </c>
      <c r="K53" s="625">
        <f>IF(ISERROR(K52-L52),0,K52-L52)</f>
        <v>0</v>
      </c>
      <c r="L53" s="625">
        <f>IF(ISERROR(K53*J53),0,K53*J53)</f>
        <v>0</v>
      </c>
      <c r="M53" s="401"/>
      <c r="N53" s="381" t="e">
        <f>IF(G49&gt;(D49+5),"Exceeds Available Volume!","")</f>
        <v>#DIV/0!</v>
      </c>
    </row>
    <row r="54" spans="1:25" ht="24.95" customHeight="1" x14ac:dyDescent="0.2">
      <c r="B54" s="1052" t="s">
        <v>371</v>
      </c>
      <c r="C54" s="1053"/>
      <c r="D54" s="1054">
        <f>IF(J53&gt;0,K326-L53,IF(J52&gt;0,K52-L52,IF(J51&gt;0,K51-L51,IF(J50&gt;0,K50-L50,K49-L49))))</f>
        <v>0</v>
      </c>
      <c r="E54" s="1055"/>
      <c r="F54" s="1055"/>
      <c r="G54" s="1055"/>
      <c r="H54" s="1055"/>
      <c r="I54" s="1055"/>
      <c r="J54" s="1055"/>
      <c r="K54" s="1055"/>
      <c r="L54" s="1055"/>
      <c r="M54" s="1056"/>
      <c r="N54" s="382"/>
    </row>
    <row r="55" spans="1:25" s="306" customFormat="1" ht="24.95" customHeight="1" x14ac:dyDescent="0.2">
      <c r="A55" s="164"/>
      <c r="B55" s="953" t="s">
        <v>287</v>
      </c>
      <c r="C55" s="954"/>
      <c r="D55" s="954"/>
      <c r="E55" s="954"/>
      <c r="F55" s="954"/>
      <c r="G55" s="954"/>
      <c r="H55" s="954"/>
      <c r="I55" s="954"/>
      <c r="J55" s="954"/>
      <c r="K55" s="954"/>
      <c r="L55" s="954"/>
      <c r="M55" s="955"/>
      <c r="N55" s="382"/>
      <c r="O55" s="164"/>
      <c r="P55" s="164"/>
      <c r="Q55" s="164"/>
      <c r="R55" s="164"/>
      <c r="S55" s="164"/>
      <c r="T55" s="164"/>
      <c r="U55" s="164"/>
      <c r="V55" s="164"/>
      <c r="W55" s="164"/>
      <c r="X55" s="164"/>
      <c r="Y55" s="164"/>
    </row>
    <row r="56" spans="1:25" s="507" customFormat="1" ht="39.75" customHeight="1" x14ac:dyDescent="0.2">
      <c r="B56" s="1019" t="s">
        <v>499</v>
      </c>
      <c r="C56" s="1020"/>
      <c r="D56" s="1057"/>
      <c r="E56" s="1058"/>
      <c r="F56" s="1058"/>
      <c r="G56" s="1058"/>
      <c r="H56" s="1058"/>
      <c r="I56" s="1058"/>
      <c r="J56" s="1058"/>
      <c r="K56" s="1058"/>
      <c r="L56" s="1058"/>
      <c r="M56" s="1059"/>
      <c r="N56" s="382"/>
    </row>
    <row r="57" spans="1:25" s="507" customFormat="1" ht="39.75" hidden="1" customHeight="1" x14ac:dyDescent="0.2">
      <c r="B57" s="1019" t="s">
        <v>500</v>
      </c>
      <c r="C57" s="1020"/>
      <c r="D57" s="1129"/>
      <c r="E57" s="1130"/>
      <c r="F57" s="1130"/>
      <c r="G57" s="1130"/>
      <c r="H57" s="1130"/>
      <c r="I57" s="1130"/>
      <c r="J57" s="1130"/>
      <c r="K57" s="1130"/>
      <c r="L57" s="1130"/>
      <c r="M57" s="1131"/>
      <c r="N57" s="382"/>
    </row>
    <row r="58" spans="1:25" s="507" customFormat="1" ht="79.5" customHeight="1" x14ac:dyDescent="0.2">
      <c r="B58" s="374" t="s">
        <v>318</v>
      </c>
      <c r="C58" s="375" t="s">
        <v>284</v>
      </c>
      <c r="D58" s="1034" t="s">
        <v>568</v>
      </c>
      <c r="E58" s="1034"/>
      <c r="F58" s="1034"/>
      <c r="G58" s="1040" t="s">
        <v>490</v>
      </c>
      <c r="H58" s="1041"/>
      <c r="I58" s="1042"/>
      <c r="J58" s="631" t="s">
        <v>269</v>
      </c>
      <c r="K58" s="631" t="s">
        <v>491</v>
      </c>
      <c r="L58" s="631" t="s">
        <v>492</v>
      </c>
      <c r="M58" s="376" t="s">
        <v>322</v>
      </c>
      <c r="N58" s="382"/>
    </row>
    <row r="59" spans="1:25" ht="24.95" customHeight="1" x14ac:dyDescent="0.2">
      <c r="B59" s="399"/>
      <c r="C59" s="400"/>
      <c r="D59" s="1043" t="e">
        <f>IF('SITE SUMMARY'!$G$35="High",E163,"-")</f>
        <v>#DIV/0!</v>
      </c>
      <c r="E59" s="1044"/>
      <c r="F59" s="1045"/>
      <c r="G59" s="1060"/>
      <c r="H59" s="1061"/>
      <c r="I59" s="1062"/>
      <c r="J59" s="378">
        <f>IF(ISERROR(VLOOKUP(C59,BMP,2,FALSE)),0,VLOOKUP(C59,BMP,2,FALSE))</f>
        <v>0</v>
      </c>
      <c r="K59" s="625">
        <f>IF(ISERROR($H$114),D56,$H$114+D56)</f>
        <v>0</v>
      </c>
      <c r="L59" s="625">
        <f>IF(ISERROR(K59*J59),0,K59*J59)</f>
        <v>0</v>
      </c>
      <c r="M59" s="401"/>
      <c r="N59" s="382"/>
      <c r="O59" s="379"/>
      <c r="P59" s="379"/>
      <c r="Q59" s="379"/>
      <c r="R59" s="379"/>
      <c r="S59" s="379"/>
      <c r="T59" s="379"/>
    </row>
    <row r="60" spans="1:25" ht="24.95" customHeight="1" x14ac:dyDescent="0.2">
      <c r="B60" s="399"/>
      <c r="C60" s="400"/>
      <c r="D60" s="1046"/>
      <c r="E60" s="1047"/>
      <c r="F60" s="1048"/>
      <c r="G60" s="1063"/>
      <c r="H60" s="1064"/>
      <c r="I60" s="1065"/>
      <c r="J60" s="378">
        <f>IF(ISERROR(VLOOKUP(C60,BMP,2,FALSE)),0,VLOOKUP(C60,BMP,2,FALSE))</f>
        <v>0</v>
      </c>
      <c r="K60" s="625">
        <f>IF(ISERROR(K59-L59),0,K59-L59)</f>
        <v>0</v>
      </c>
      <c r="L60" s="625">
        <f>IF(ISERROR(K60*J60),0,K60*J60)</f>
        <v>0</v>
      </c>
      <c r="M60" s="401"/>
      <c r="N60" s="382"/>
    </row>
    <row r="61" spans="1:25" ht="24.95" customHeight="1" x14ac:dyDescent="0.2">
      <c r="B61" s="399"/>
      <c r="C61" s="400"/>
      <c r="D61" s="1046"/>
      <c r="E61" s="1047"/>
      <c r="F61" s="1048"/>
      <c r="G61" s="1063"/>
      <c r="H61" s="1064"/>
      <c r="I61" s="1065"/>
      <c r="J61" s="378">
        <f>IF(ISERROR(VLOOKUP(C61,BMP,2,FALSE)),0,VLOOKUP(C61,BMP,2,FALSE))</f>
        <v>0</v>
      </c>
      <c r="K61" s="625">
        <f>IF(ISERROR(K60-L60),0,K60-L60)</f>
        <v>0</v>
      </c>
      <c r="L61" s="625">
        <f>IF(ISERROR(K61*J61),0,K61*J61)</f>
        <v>0</v>
      </c>
      <c r="M61" s="401"/>
      <c r="N61" s="382"/>
    </row>
    <row r="62" spans="1:25" ht="24.95" customHeight="1" x14ac:dyDescent="0.2">
      <c r="B62" s="399"/>
      <c r="C62" s="400"/>
      <c r="D62" s="1046"/>
      <c r="E62" s="1047"/>
      <c r="F62" s="1048"/>
      <c r="G62" s="1063"/>
      <c r="H62" s="1064"/>
      <c r="I62" s="1065"/>
      <c r="J62" s="378">
        <f>IF(ISERROR(VLOOKUP(C62,BMP,2,FALSE)),0,VLOOKUP(C62,BMP,2,FALSE))</f>
        <v>0</v>
      </c>
      <c r="K62" s="625">
        <f>IF(ISERROR(K61-L61),0,K61-L61)</f>
        <v>0</v>
      </c>
      <c r="L62" s="625">
        <f>IF(ISERROR(K62*J62),0,K62*J62)</f>
        <v>0</v>
      </c>
      <c r="M62" s="401"/>
      <c r="N62" s="382"/>
    </row>
    <row r="63" spans="1:25" ht="24.95" customHeight="1" x14ac:dyDescent="0.2">
      <c r="B63" s="399"/>
      <c r="C63" s="400"/>
      <c r="D63" s="1049"/>
      <c r="E63" s="1050"/>
      <c r="F63" s="1051"/>
      <c r="G63" s="1066"/>
      <c r="H63" s="1067"/>
      <c r="I63" s="1068"/>
      <c r="J63" s="378">
        <f>IF(ISERROR(VLOOKUP(C63,BMP,2,FALSE)),0,VLOOKUP(C63,BMP,2,FALSE))</f>
        <v>0</v>
      </c>
      <c r="K63" s="625">
        <f>IF(ISERROR(K62-L62),0,K62-L62)</f>
        <v>0</v>
      </c>
      <c r="L63" s="625">
        <f>IF(ISERROR(K63*J63),0,K63*J63)</f>
        <v>0</v>
      </c>
      <c r="M63" s="401"/>
      <c r="N63" s="381" t="e">
        <f>IF(G59&gt;(D59+5),"Exceeds Available Volume!","")</f>
        <v>#DIV/0!</v>
      </c>
    </row>
    <row r="64" spans="1:25" ht="24.95" customHeight="1" x14ac:dyDescent="0.2">
      <c r="B64" s="1052" t="s">
        <v>371</v>
      </c>
      <c r="C64" s="1053"/>
      <c r="D64" s="1054">
        <f>IF(J63&gt;0,K63-L63,IF(J62&gt;0,K62-L62,IF(J61&gt;0,K61-L61,IF(J60&gt;0,K60-L60,K59-L59))))</f>
        <v>0</v>
      </c>
      <c r="E64" s="1055"/>
      <c r="F64" s="1055"/>
      <c r="G64" s="1055"/>
      <c r="H64" s="1055"/>
      <c r="I64" s="1055"/>
      <c r="J64" s="1055"/>
      <c r="K64" s="1055"/>
      <c r="L64" s="1055"/>
      <c r="M64" s="1056"/>
      <c r="N64" s="382"/>
    </row>
    <row r="65" spans="1:25" s="306" customFormat="1" ht="24.95" customHeight="1" x14ac:dyDescent="0.2">
      <c r="A65" s="164"/>
      <c r="B65" s="953" t="s">
        <v>372</v>
      </c>
      <c r="C65" s="954"/>
      <c r="D65" s="954"/>
      <c r="E65" s="954"/>
      <c r="F65" s="954"/>
      <c r="G65" s="954"/>
      <c r="H65" s="954"/>
      <c r="I65" s="954"/>
      <c r="J65" s="954"/>
      <c r="K65" s="954"/>
      <c r="L65" s="954"/>
      <c r="M65" s="955"/>
      <c r="N65" s="334"/>
      <c r="O65" s="164"/>
      <c r="P65" s="164"/>
      <c r="Q65" s="164"/>
      <c r="R65" s="164"/>
      <c r="S65" s="164"/>
      <c r="T65" s="164"/>
      <c r="U65" s="164"/>
      <c r="V65" s="164"/>
      <c r="W65" s="164"/>
      <c r="X65" s="164"/>
      <c r="Y65" s="164"/>
    </row>
    <row r="66" spans="1:25" s="507" customFormat="1" ht="39.950000000000003" customHeight="1" x14ac:dyDescent="0.2">
      <c r="B66" s="1019" t="s">
        <v>373</v>
      </c>
      <c r="C66" s="1020"/>
      <c r="D66" s="1057"/>
      <c r="E66" s="1058"/>
      <c r="F66" s="1058"/>
      <c r="G66" s="1058"/>
      <c r="H66" s="1058"/>
      <c r="I66" s="1058"/>
      <c r="J66" s="1058"/>
      <c r="K66" s="1058"/>
      <c r="L66" s="1058"/>
      <c r="M66" s="1059"/>
      <c r="N66" s="382"/>
    </row>
    <row r="67" spans="1:25" s="507" customFormat="1" ht="39.950000000000003" hidden="1" customHeight="1" x14ac:dyDescent="0.2">
      <c r="B67" s="1019" t="s">
        <v>501</v>
      </c>
      <c r="C67" s="1020"/>
      <c r="D67" s="1129"/>
      <c r="E67" s="1130"/>
      <c r="F67" s="1130"/>
      <c r="G67" s="1130"/>
      <c r="H67" s="1130"/>
      <c r="I67" s="1130"/>
      <c r="J67" s="1130"/>
      <c r="K67" s="1130"/>
      <c r="L67" s="1130"/>
      <c r="M67" s="1131"/>
      <c r="N67" s="382"/>
    </row>
    <row r="68" spans="1:25" s="507" customFormat="1" ht="79.5" customHeight="1" x14ac:dyDescent="0.2">
      <c r="B68" s="374" t="s">
        <v>318</v>
      </c>
      <c r="C68" s="375" t="s">
        <v>284</v>
      </c>
      <c r="D68" s="1034" t="s">
        <v>568</v>
      </c>
      <c r="E68" s="1034"/>
      <c r="F68" s="1034"/>
      <c r="G68" s="1034" t="s">
        <v>490</v>
      </c>
      <c r="H68" s="1034"/>
      <c r="I68" s="1034"/>
      <c r="J68" s="631" t="s">
        <v>269</v>
      </c>
      <c r="K68" s="631" t="s">
        <v>491</v>
      </c>
      <c r="L68" s="631" t="s">
        <v>492</v>
      </c>
      <c r="M68" s="376" t="s">
        <v>322</v>
      </c>
      <c r="N68" s="382"/>
    </row>
    <row r="69" spans="1:25" ht="24.95" customHeight="1" x14ac:dyDescent="0.2">
      <c r="B69" s="399"/>
      <c r="C69" s="400"/>
      <c r="D69" s="1043" t="e">
        <f>IF('SITE SUMMARY'!$G$35="High",E167,"-")</f>
        <v>#DIV/0!</v>
      </c>
      <c r="E69" s="1044"/>
      <c r="F69" s="1045"/>
      <c r="G69" s="1060"/>
      <c r="H69" s="1061"/>
      <c r="I69" s="1062"/>
      <c r="J69" s="378">
        <f>IF(ISERROR(VLOOKUP(C69,BMP,2,FALSE)),0,VLOOKUP(C69,BMP,2,FALSE))</f>
        <v>0</v>
      </c>
      <c r="K69" s="625">
        <f>IF(ISERROR($I$114),D66,$I$114+D66)</f>
        <v>0</v>
      </c>
      <c r="L69" s="625">
        <f>IF(ISERROR(K69*J69),0,K69*J69)</f>
        <v>0</v>
      </c>
      <c r="M69" s="401"/>
      <c r="N69" s="382"/>
      <c r="O69" s="379"/>
      <c r="P69" s="379"/>
      <c r="Q69" s="379"/>
      <c r="R69" s="379"/>
      <c r="S69" s="379"/>
      <c r="T69" s="379"/>
    </row>
    <row r="70" spans="1:25" ht="24.95" customHeight="1" x14ac:dyDescent="0.2">
      <c r="B70" s="399"/>
      <c r="C70" s="400"/>
      <c r="D70" s="1046"/>
      <c r="E70" s="1047"/>
      <c r="F70" s="1048"/>
      <c r="G70" s="1063"/>
      <c r="H70" s="1064"/>
      <c r="I70" s="1065"/>
      <c r="J70" s="378">
        <f>IF(ISERROR(VLOOKUP(C70,BMP,2,FALSE)),0,VLOOKUP(C70,BMP,2,FALSE))</f>
        <v>0</v>
      </c>
      <c r="K70" s="625">
        <f>IF(ISERROR(K69-L69),0,K69-L69)</f>
        <v>0</v>
      </c>
      <c r="L70" s="625">
        <f>IF(ISERROR(K70*J70),0,K70*J70)</f>
        <v>0</v>
      </c>
      <c r="M70" s="401"/>
      <c r="N70" s="382"/>
    </row>
    <row r="71" spans="1:25" ht="24.95" customHeight="1" x14ac:dyDescent="0.2">
      <c r="B71" s="399"/>
      <c r="C71" s="400"/>
      <c r="D71" s="1046"/>
      <c r="E71" s="1047"/>
      <c r="F71" s="1048"/>
      <c r="G71" s="1063"/>
      <c r="H71" s="1064"/>
      <c r="I71" s="1065"/>
      <c r="J71" s="378">
        <f>IF(ISERROR(VLOOKUP(C71,BMP,2,FALSE)),0,VLOOKUP(C71,BMP,2,FALSE))</f>
        <v>0</v>
      </c>
      <c r="K71" s="625">
        <f>IF(ISERROR(K70-L70),0,K70-L70)</f>
        <v>0</v>
      </c>
      <c r="L71" s="625">
        <f>IF(ISERROR(K71*J71),0,K71*J71)</f>
        <v>0</v>
      </c>
      <c r="M71" s="401"/>
      <c r="N71" s="382"/>
    </row>
    <row r="72" spans="1:25" ht="24.95" customHeight="1" x14ac:dyDescent="0.2">
      <c r="B72" s="399"/>
      <c r="C72" s="400"/>
      <c r="D72" s="1046"/>
      <c r="E72" s="1047"/>
      <c r="F72" s="1048"/>
      <c r="G72" s="1063"/>
      <c r="H72" s="1064"/>
      <c r="I72" s="1065"/>
      <c r="J72" s="378">
        <f>IF(ISERROR(VLOOKUP(C72,BMP,2,FALSE)),0,VLOOKUP(C72,BMP,2,FALSE))</f>
        <v>0</v>
      </c>
      <c r="K72" s="625">
        <f>IF(ISERROR(K71-L71),0,K71-L71)</f>
        <v>0</v>
      </c>
      <c r="L72" s="625">
        <f>IF(ISERROR(K72*J72),0,K72*J72)</f>
        <v>0</v>
      </c>
      <c r="M72" s="401"/>
      <c r="N72" s="382"/>
    </row>
    <row r="73" spans="1:25" ht="24.95" customHeight="1" x14ac:dyDescent="0.2">
      <c r="B73" s="399"/>
      <c r="C73" s="400"/>
      <c r="D73" s="1049"/>
      <c r="E73" s="1050"/>
      <c r="F73" s="1051"/>
      <c r="G73" s="1066"/>
      <c r="H73" s="1067"/>
      <c r="I73" s="1068"/>
      <c r="J73" s="378">
        <f>IF(ISERROR(VLOOKUP(C73,BMP,2,FALSE)),0,VLOOKUP(C73,BMP,2,FALSE))</f>
        <v>0</v>
      </c>
      <c r="K73" s="625">
        <f>IF(ISERROR(K72-L72),0,K72-L72)</f>
        <v>0</v>
      </c>
      <c r="L73" s="625">
        <f>IF(ISERROR(K73*J73),0,K73*J73)</f>
        <v>0</v>
      </c>
      <c r="M73" s="401"/>
      <c r="N73" s="381" t="e">
        <f>IF(G69&gt;(D69+5),"Exceeds Available Volume!","")</f>
        <v>#DIV/0!</v>
      </c>
    </row>
    <row r="74" spans="1:25" ht="24.95" customHeight="1" x14ac:dyDescent="0.2">
      <c r="B74" s="1052" t="s">
        <v>371</v>
      </c>
      <c r="C74" s="1053"/>
      <c r="D74" s="1054">
        <f>IF(J73&gt;0,K73-L73,IF(J72&gt;0,K72-L72,IF(J71&gt;0,K71-L71,IF(J70&gt;0,K70-L70,K69-L69))))</f>
        <v>0</v>
      </c>
      <c r="E74" s="1055"/>
      <c r="F74" s="1055"/>
      <c r="G74" s="1055"/>
      <c r="H74" s="1055"/>
      <c r="I74" s="1055"/>
      <c r="J74" s="1055"/>
      <c r="K74" s="1055"/>
      <c r="L74" s="1055"/>
      <c r="M74" s="1056"/>
      <c r="N74" s="382"/>
    </row>
    <row r="75" spans="1:25" ht="24.95" customHeight="1" x14ac:dyDescent="0.2">
      <c r="B75" s="1116" t="s">
        <v>675</v>
      </c>
      <c r="C75" s="1117"/>
      <c r="D75" s="1117"/>
      <c r="E75" s="1117"/>
      <c r="F75" s="1117"/>
      <c r="G75" s="1117"/>
      <c r="H75" s="1117"/>
      <c r="I75" s="1117"/>
      <c r="J75" s="1117"/>
      <c r="K75" s="1117"/>
      <c r="L75" s="1117"/>
      <c r="M75" s="1118"/>
      <c r="N75" s="1132" t="s">
        <v>422</v>
      </c>
    </row>
    <row r="76" spans="1:25" ht="24.95" customHeight="1" x14ac:dyDescent="0.2">
      <c r="B76" s="1110" t="s">
        <v>493</v>
      </c>
      <c r="C76" s="1111"/>
      <c r="D76" s="1112">
        <f>G29+G39+G49+G59+G69</f>
        <v>0</v>
      </c>
      <c r="E76" s="1113"/>
      <c r="F76" s="1113"/>
      <c r="G76" s="1113"/>
      <c r="H76" s="1113"/>
      <c r="I76" s="1113"/>
      <c r="J76" s="1113"/>
      <c r="K76" s="1113"/>
      <c r="L76" s="1113"/>
      <c r="M76" s="1114"/>
      <c r="N76" s="1132"/>
    </row>
    <row r="77" spans="1:25" ht="24.95" customHeight="1" x14ac:dyDescent="0.2">
      <c r="B77" s="1069" t="s">
        <v>338</v>
      </c>
      <c r="C77" s="884"/>
      <c r="D77" s="1070">
        <f>SUM(L29:L33,L39:L43,L49:L53,L59:L63,L69:L73)</f>
        <v>0</v>
      </c>
      <c r="E77" s="1070"/>
      <c r="F77" s="1070"/>
      <c r="G77" s="1070"/>
      <c r="H77" s="1070"/>
      <c r="I77" s="1070"/>
      <c r="J77" s="1070"/>
      <c r="K77" s="1070"/>
      <c r="L77" s="1070"/>
      <c r="M77" s="1071"/>
      <c r="N77" s="1132"/>
    </row>
    <row r="78" spans="1:25" ht="24.95" customHeight="1" x14ac:dyDescent="0.2">
      <c r="B78" s="1099" t="s">
        <v>337</v>
      </c>
      <c r="C78" s="1100"/>
      <c r="D78" s="1100"/>
      <c r="E78" s="1100"/>
      <c r="F78" s="1100"/>
      <c r="G78" s="1100"/>
      <c r="H78" s="1100"/>
      <c r="I78" s="1100"/>
      <c r="J78" s="1100"/>
      <c r="K78" s="1100"/>
      <c r="L78" s="1100"/>
      <c r="M78" s="1101"/>
      <c r="N78" s="1132"/>
    </row>
    <row r="79" spans="1:25" ht="24.95" customHeight="1" x14ac:dyDescent="0.2">
      <c r="B79" s="883" t="s">
        <v>465</v>
      </c>
      <c r="C79" s="884"/>
      <c r="D79" s="1072">
        <f>IF(('DA7'!H83-D76)&lt;0,0,'DA7'!H83-D76)</f>
        <v>0</v>
      </c>
      <c r="E79" s="1072"/>
      <c r="F79" s="1072"/>
      <c r="G79" s="1072"/>
      <c r="H79" s="1072"/>
      <c r="I79" s="1072"/>
      <c r="J79" s="1072"/>
      <c r="K79" s="1072"/>
      <c r="L79" s="1072"/>
      <c r="M79" s="1073"/>
      <c r="N79" s="1132"/>
    </row>
    <row r="80" spans="1:25" ht="24.95" customHeight="1" x14ac:dyDescent="0.2">
      <c r="B80" s="1069" t="s">
        <v>413</v>
      </c>
      <c r="C80" s="884"/>
      <c r="D80" s="1074" t="e">
        <f>((((D79)/(C9*43560)))*12)</f>
        <v>#DIV/0!</v>
      </c>
      <c r="E80" s="1074"/>
      <c r="F80" s="1074"/>
      <c r="G80" s="1074"/>
      <c r="H80" s="1074"/>
      <c r="I80" s="1074"/>
      <c r="J80" s="1074"/>
      <c r="K80" s="1074"/>
      <c r="L80" s="1074"/>
      <c r="M80" s="1075"/>
      <c r="N80" s="1132"/>
    </row>
    <row r="81" spans="1:14" ht="24.95" customHeight="1" x14ac:dyDescent="0.2">
      <c r="B81" s="1069" t="s">
        <v>409</v>
      </c>
      <c r="C81" s="884"/>
      <c r="D81" s="1076">
        <f>IF(ISERROR(VLOOKUP($D$80,CN,2,TRUE)),0,VLOOKUP($D$80,CN,2,TRUE))</f>
        <v>0</v>
      </c>
      <c r="E81" s="1076"/>
      <c r="F81" s="1076"/>
      <c r="G81" s="1076"/>
      <c r="H81" s="1076"/>
      <c r="I81" s="1076"/>
      <c r="J81" s="1076"/>
      <c r="K81" s="1076"/>
      <c r="L81" s="1076"/>
      <c r="M81" s="1077"/>
      <c r="N81" s="1132"/>
    </row>
    <row r="82" spans="1:14" ht="33.75" customHeight="1" x14ac:dyDescent="0.2">
      <c r="B82" s="1069" t="s">
        <v>353</v>
      </c>
      <c r="C82" s="884"/>
      <c r="D82" s="1102"/>
      <c r="E82" s="1103"/>
      <c r="F82" s="1103"/>
      <c r="G82" s="1103"/>
      <c r="H82" s="1103"/>
      <c r="I82" s="1103"/>
      <c r="J82" s="1103"/>
      <c r="K82" s="1103"/>
      <c r="L82" s="1103"/>
      <c r="M82" s="1104"/>
      <c r="N82" s="1132"/>
    </row>
    <row r="83" spans="1:14" ht="24.95" customHeight="1" x14ac:dyDescent="0.2">
      <c r="B83" s="1099" t="s">
        <v>374</v>
      </c>
      <c r="C83" s="1100"/>
      <c r="D83" s="1100"/>
      <c r="E83" s="1100"/>
      <c r="F83" s="1100"/>
      <c r="G83" s="1100"/>
      <c r="H83" s="1100"/>
      <c r="I83" s="1100"/>
      <c r="J83" s="1100"/>
      <c r="K83" s="1100"/>
      <c r="L83" s="1100"/>
      <c r="M83" s="1101"/>
      <c r="N83" s="1132"/>
    </row>
    <row r="84" spans="1:14" ht="24.95" customHeight="1" x14ac:dyDescent="0.2">
      <c r="B84" s="883" t="s">
        <v>416</v>
      </c>
      <c r="C84" s="884"/>
      <c r="D84" s="1072" t="e">
        <f>IF(('DA7'!H88-D76)&lt;0,0,'DA7'!H88-D76)</f>
        <v>#DIV/0!</v>
      </c>
      <c r="E84" s="1072"/>
      <c r="F84" s="1072"/>
      <c r="G84" s="1072"/>
      <c r="H84" s="1072"/>
      <c r="I84" s="1072"/>
      <c r="J84" s="1072"/>
      <c r="K84" s="1072"/>
      <c r="L84" s="1072"/>
      <c r="M84" s="1073"/>
      <c r="N84" s="1132"/>
    </row>
    <row r="85" spans="1:14" ht="24.95" customHeight="1" x14ac:dyDescent="0.2">
      <c r="B85" s="1105" t="s">
        <v>411</v>
      </c>
      <c r="C85" s="1106"/>
      <c r="D85" s="1074" t="e">
        <f>((D84/(C9*43560)))*12</f>
        <v>#DIV/0!</v>
      </c>
      <c r="E85" s="1074"/>
      <c r="F85" s="1074"/>
      <c r="G85" s="1074"/>
      <c r="H85" s="1074"/>
      <c r="I85" s="1074"/>
      <c r="J85" s="1074"/>
      <c r="K85" s="1074"/>
      <c r="L85" s="1074"/>
      <c r="M85" s="1075"/>
      <c r="N85" s="1132"/>
    </row>
    <row r="86" spans="1:14" ht="24.95" customHeight="1" x14ac:dyDescent="0.2">
      <c r="B86" s="1069" t="s">
        <v>431</v>
      </c>
      <c r="C86" s="884"/>
      <c r="D86" s="1076">
        <f>IF(ISERROR(VLOOKUP(D85,CN2YR,2,TRUE)),0,VLOOKUP(D85,CN2YR,2,TRUE))</f>
        <v>0</v>
      </c>
      <c r="E86" s="1076"/>
      <c r="F86" s="1076"/>
      <c r="G86" s="1076"/>
      <c r="H86" s="1076"/>
      <c r="I86" s="1076"/>
      <c r="J86" s="1076"/>
      <c r="K86" s="1076"/>
      <c r="L86" s="1076"/>
      <c r="M86" s="1077"/>
      <c r="N86" s="1132"/>
    </row>
    <row r="87" spans="1:14" ht="33.75" customHeight="1" x14ac:dyDescent="0.2">
      <c r="B87" s="1069" t="s">
        <v>410</v>
      </c>
      <c r="C87" s="884"/>
      <c r="D87" s="1102"/>
      <c r="E87" s="1103"/>
      <c r="F87" s="1103"/>
      <c r="G87" s="1103"/>
      <c r="H87" s="1103"/>
      <c r="I87" s="1103"/>
      <c r="J87" s="1103"/>
      <c r="K87" s="1103"/>
      <c r="L87" s="1103"/>
      <c r="M87" s="1104"/>
      <c r="N87" s="1132"/>
    </row>
    <row r="88" spans="1:14" ht="24.95" customHeight="1" x14ac:dyDescent="0.2">
      <c r="B88" s="1099" t="s">
        <v>376</v>
      </c>
      <c r="C88" s="1100"/>
      <c r="D88" s="1100"/>
      <c r="E88" s="1100"/>
      <c r="F88" s="1100"/>
      <c r="G88" s="1100"/>
      <c r="H88" s="1100"/>
      <c r="I88" s="1100"/>
      <c r="J88" s="1100"/>
      <c r="K88" s="1100"/>
      <c r="L88" s="1100"/>
      <c r="M88" s="1101"/>
      <c r="N88" s="1132"/>
    </row>
    <row r="89" spans="1:14" s="169" customFormat="1" ht="24.95" hidden="1" customHeight="1" x14ac:dyDescent="0.2">
      <c r="A89" s="216"/>
      <c r="B89" s="1097" t="s">
        <v>417</v>
      </c>
      <c r="C89" s="1098"/>
      <c r="D89" s="1078" t="e">
        <f>('DA7'!H91/12)*('DA7'!H10*43560)</f>
        <v>#DIV/0!</v>
      </c>
      <c r="E89" s="1079"/>
      <c r="F89" s="1079"/>
      <c r="G89" s="1079"/>
      <c r="H89" s="1079"/>
      <c r="I89" s="1079"/>
      <c r="J89" s="1079"/>
      <c r="K89" s="1079"/>
      <c r="L89" s="1079"/>
      <c r="M89" s="1080"/>
      <c r="N89" s="1132"/>
    </row>
    <row r="90" spans="1:14" ht="24.95" customHeight="1" x14ac:dyDescent="0.2">
      <c r="B90" s="883" t="s">
        <v>466</v>
      </c>
      <c r="C90" s="884"/>
      <c r="D90" s="1072" t="e">
        <f>IF(('DA7'!H92-D76)&lt;0,0,'DA7'!H92-D76)</f>
        <v>#DIV/0!</v>
      </c>
      <c r="E90" s="1072"/>
      <c r="F90" s="1072"/>
      <c r="G90" s="1072"/>
      <c r="H90" s="1072"/>
      <c r="I90" s="1072"/>
      <c r="J90" s="1072"/>
      <c r="K90" s="1072"/>
      <c r="L90" s="1072"/>
      <c r="M90" s="1073"/>
      <c r="N90" s="1132"/>
    </row>
    <row r="91" spans="1:14" ht="24.95" customHeight="1" x14ac:dyDescent="0.2">
      <c r="B91" s="1069" t="s">
        <v>432</v>
      </c>
      <c r="C91" s="884"/>
      <c r="D91" s="1074" t="e">
        <f>((D90/(C9*43560)))*12</f>
        <v>#DIV/0!</v>
      </c>
      <c r="E91" s="1074"/>
      <c r="F91" s="1074"/>
      <c r="G91" s="1074"/>
      <c r="H91" s="1074"/>
      <c r="I91" s="1074"/>
      <c r="J91" s="1074"/>
      <c r="K91" s="1074"/>
      <c r="L91" s="1074"/>
      <c r="M91" s="1075"/>
      <c r="N91" s="1132"/>
    </row>
    <row r="92" spans="1:14" ht="24.95" customHeight="1" x14ac:dyDescent="0.2">
      <c r="B92" s="1105" t="s">
        <v>433</v>
      </c>
      <c r="C92" s="1106"/>
      <c r="D92" s="1076">
        <f>IF(ISERROR(VLOOKUP(D91,CN2YR,2,TRUE)),0,VLOOKUP(D91,CN2YR,2,TRUE))</f>
        <v>0</v>
      </c>
      <c r="E92" s="1076"/>
      <c r="F92" s="1076"/>
      <c r="G92" s="1076"/>
      <c r="H92" s="1076"/>
      <c r="I92" s="1076"/>
      <c r="J92" s="1076"/>
      <c r="K92" s="1076"/>
      <c r="L92" s="1076"/>
      <c r="M92" s="1077"/>
      <c r="N92" s="1132"/>
    </row>
    <row r="93" spans="1:14" ht="33.75" customHeight="1" thickBot="1" x14ac:dyDescent="0.25">
      <c r="B93" s="1021" t="s">
        <v>412</v>
      </c>
      <c r="C93" s="1022"/>
      <c r="D93" s="1023"/>
      <c r="E93" s="1024"/>
      <c r="F93" s="1024"/>
      <c r="G93" s="1024"/>
      <c r="H93" s="1024"/>
      <c r="I93" s="1024"/>
      <c r="J93" s="1024"/>
      <c r="K93" s="1024"/>
      <c r="L93" s="1024"/>
      <c r="M93" s="1025"/>
      <c r="N93" s="1132"/>
    </row>
    <row r="94" spans="1:14" s="507" customFormat="1" x14ac:dyDescent="0.2">
      <c r="K94" s="573"/>
    </row>
    <row r="95" spans="1:14" s="507" customFormat="1" hidden="1" x14ac:dyDescent="0.2">
      <c r="K95" s="573"/>
    </row>
    <row r="96" spans="1:14" s="507" customFormat="1" hidden="1" x14ac:dyDescent="0.2">
      <c r="K96" s="573"/>
    </row>
    <row r="97" spans="1:25" s="507" customFormat="1" hidden="1" x14ac:dyDescent="0.2">
      <c r="K97" s="573"/>
    </row>
    <row r="98" spans="1:25" s="507" customFormat="1" hidden="1" x14ac:dyDescent="0.2">
      <c r="K98" s="573"/>
      <c r="N98" s="344"/>
    </row>
    <row r="99" spans="1:25" s="383" customFormat="1" ht="15.75" hidden="1" x14ac:dyDescent="0.25">
      <c r="A99" s="508"/>
      <c r="B99" s="313" t="s">
        <v>126</v>
      </c>
      <c r="K99" s="449"/>
    </row>
    <row r="100" spans="1:25" hidden="1" x14ac:dyDescent="0.2">
      <c r="B100" s="507"/>
      <c r="C100" s="507"/>
      <c r="D100" s="507"/>
      <c r="E100" s="507"/>
      <c r="F100" s="507"/>
      <c r="G100" s="507"/>
      <c r="H100" s="507"/>
      <c r="I100" s="507"/>
      <c r="J100" s="507"/>
      <c r="K100" s="573"/>
      <c r="L100" s="507"/>
      <c r="M100" s="507"/>
      <c r="N100" s="347"/>
    </row>
    <row r="101" spans="1:25" hidden="1" x14ac:dyDescent="0.2">
      <c r="B101" s="507"/>
      <c r="C101" s="507"/>
      <c r="D101" s="507"/>
      <c r="E101" s="507"/>
      <c r="F101" s="507"/>
      <c r="G101" s="507"/>
      <c r="H101" s="507"/>
      <c r="I101" s="507"/>
      <c r="J101" s="507"/>
      <c r="K101" s="573"/>
      <c r="L101" s="507"/>
      <c r="M101" s="507"/>
      <c r="N101" s="347"/>
    </row>
    <row r="102" spans="1:25" ht="18" hidden="1" x14ac:dyDescent="0.25">
      <c r="B102" s="384" t="s">
        <v>276</v>
      </c>
      <c r="C102" s="384"/>
      <c r="D102" s="384"/>
      <c r="E102" s="384"/>
      <c r="F102" s="384"/>
      <c r="G102" s="384"/>
      <c r="H102" s="384"/>
      <c r="I102" s="384"/>
      <c r="J102" s="384"/>
      <c r="K102" s="384"/>
      <c r="L102" s="384"/>
      <c r="M102" s="384"/>
      <c r="N102" s="347"/>
    </row>
    <row r="103" spans="1:25" hidden="1" x14ac:dyDescent="0.2">
      <c r="B103" s="507"/>
      <c r="C103" s="507"/>
      <c r="D103" s="507"/>
      <c r="E103" s="507"/>
      <c r="F103" s="507"/>
      <c r="G103" s="507"/>
      <c r="H103" s="507"/>
      <c r="I103" s="507"/>
      <c r="J103" s="507"/>
      <c r="K103" s="573"/>
      <c r="L103" s="507"/>
      <c r="M103" s="507"/>
      <c r="N103" s="347"/>
    </row>
    <row r="104" spans="1:25" ht="47.25" hidden="1" x14ac:dyDescent="0.2">
      <c r="B104" s="385" t="s">
        <v>273</v>
      </c>
      <c r="C104" s="386"/>
      <c r="D104" s="579" t="s">
        <v>553</v>
      </c>
      <c r="E104" s="580" t="s">
        <v>676</v>
      </c>
      <c r="F104" s="580" t="s">
        <v>677</v>
      </c>
      <c r="G104" s="580" t="s">
        <v>678</v>
      </c>
      <c r="H104" s="591" t="s">
        <v>679</v>
      </c>
      <c r="I104" s="591" t="s">
        <v>680</v>
      </c>
      <c r="J104" s="507"/>
      <c r="K104" s="507"/>
      <c r="L104" s="609"/>
      <c r="M104" s="507"/>
      <c r="N104" s="507"/>
      <c r="X104" s="161"/>
      <c r="Y104" s="161"/>
    </row>
    <row r="105" spans="1:25" hidden="1" x14ac:dyDescent="0.2">
      <c r="B105" s="592" t="s">
        <v>12</v>
      </c>
      <c r="C105" s="387"/>
      <c r="D105" s="578">
        <v>1.2</v>
      </c>
      <c r="E105" s="388">
        <f>(SUM(D17:E17))*$D$105</f>
        <v>0</v>
      </c>
      <c r="F105" s="388">
        <f t="shared" ref="F105:F112" si="1">(SUM(F17:G17))*D105</f>
        <v>0</v>
      </c>
      <c r="G105" s="388">
        <f t="shared" ref="G105:G112" si="2">(SUM(H17:I17))*D105</f>
        <v>0</v>
      </c>
      <c r="H105" s="388">
        <f t="shared" ref="H105:H112" si="3">(SUM(J17:K17))*D105</f>
        <v>0</v>
      </c>
      <c r="I105" s="388">
        <f t="shared" ref="I105:I112" si="4">(SUM(L17:M17))*D105</f>
        <v>0</v>
      </c>
      <c r="J105" s="507"/>
      <c r="K105" s="507"/>
      <c r="L105" s="611" t="s">
        <v>515</v>
      </c>
      <c r="M105" s="507"/>
      <c r="N105" s="507"/>
      <c r="X105" s="161"/>
      <c r="Y105" s="161"/>
    </row>
    <row r="106" spans="1:25" hidden="1" x14ac:dyDescent="0.2">
      <c r="B106" s="592" t="s">
        <v>253</v>
      </c>
      <c r="C106" s="387"/>
      <c r="D106" s="578">
        <v>1.6</v>
      </c>
      <c r="E106" s="388">
        <f>(SUM(D18:E18))*$D$106</f>
        <v>0</v>
      </c>
      <c r="F106" s="388">
        <f t="shared" si="1"/>
        <v>0</v>
      </c>
      <c r="G106" s="388">
        <f t="shared" si="2"/>
        <v>0</v>
      </c>
      <c r="H106" s="388">
        <f t="shared" si="3"/>
        <v>0</v>
      </c>
      <c r="I106" s="388">
        <f t="shared" si="4"/>
        <v>0</v>
      </c>
      <c r="J106" s="507"/>
      <c r="K106" s="507"/>
      <c r="L106" s="610" t="s">
        <v>516</v>
      </c>
      <c r="M106" s="507"/>
      <c r="N106" s="507"/>
      <c r="X106" s="161"/>
      <c r="Y106" s="161"/>
    </row>
    <row r="107" spans="1:25" hidden="1" x14ac:dyDescent="0.2">
      <c r="B107" s="592" t="s">
        <v>258</v>
      </c>
      <c r="C107" s="387"/>
      <c r="D107" s="578">
        <v>1.2</v>
      </c>
      <c r="E107" s="388">
        <f>(SUM(D19:E19))*$D$107</f>
        <v>0</v>
      </c>
      <c r="F107" s="388">
        <f t="shared" si="1"/>
        <v>0</v>
      </c>
      <c r="G107" s="388">
        <f t="shared" si="2"/>
        <v>0</v>
      </c>
      <c r="H107" s="388">
        <f t="shared" si="3"/>
        <v>0</v>
      </c>
      <c r="I107" s="388">
        <f t="shared" si="4"/>
        <v>0</v>
      </c>
      <c r="J107" s="507"/>
      <c r="K107" s="507"/>
      <c r="L107" s="610"/>
      <c r="M107" s="507"/>
      <c r="N107" s="507"/>
      <c r="X107" s="161"/>
      <c r="Y107" s="161"/>
    </row>
    <row r="108" spans="1:25" hidden="1" x14ac:dyDescent="0.2">
      <c r="B108" s="592" t="s">
        <v>254</v>
      </c>
      <c r="C108" s="387"/>
      <c r="D108" s="578">
        <v>0.8</v>
      </c>
      <c r="E108" s="388">
        <f>(SUM(D20:E20))*$D$108</f>
        <v>0</v>
      </c>
      <c r="F108" s="388">
        <f t="shared" si="1"/>
        <v>0</v>
      </c>
      <c r="G108" s="388">
        <f t="shared" si="2"/>
        <v>0</v>
      </c>
      <c r="H108" s="388">
        <f t="shared" si="3"/>
        <v>0</v>
      </c>
      <c r="I108" s="388">
        <f t="shared" si="4"/>
        <v>0</v>
      </c>
      <c r="J108" s="507"/>
      <c r="K108" s="507"/>
      <c r="L108" s="523"/>
      <c r="M108" s="507"/>
      <c r="N108" s="507"/>
      <c r="X108" s="161"/>
      <c r="Y108" s="161"/>
    </row>
    <row r="109" spans="1:25" hidden="1" x14ac:dyDescent="0.2">
      <c r="B109" s="592" t="s">
        <v>255</v>
      </c>
      <c r="C109" s="387"/>
      <c r="D109" s="389">
        <v>1</v>
      </c>
      <c r="E109" s="388">
        <f>(SUM(D21:E21))*$D$109</f>
        <v>0</v>
      </c>
      <c r="F109" s="388">
        <f t="shared" si="1"/>
        <v>0</v>
      </c>
      <c r="G109" s="388">
        <f t="shared" si="2"/>
        <v>0</v>
      </c>
      <c r="H109" s="388">
        <f t="shared" si="3"/>
        <v>0</v>
      </c>
      <c r="I109" s="388">
        <f t="shared" si="4"/>
        <v>0</v>
      </c>
      <c r="J109" s="507"/>
      <c r="K109" s="507"/>
      <c r="L109" s="523"/>
      <c r="M109" s="507"/>
      <c r="N109" s="507"/>
      <c r="X109" s="161"/>
      <c r="Y109" s="161"/>
    </row>
    <row r="110" spans="1:25" hidden="1" x14ac:dyDescent="0.2">
      <c r="B110" s="592" t="s">
        <v>256</v>
      </c>
      <c r="C110" s="387"/>
      <c r="D110" s="578">
        <v>0.8</v>
      </c>
      <c r="E110" s="388">
        <f>(SUM(D22:E22))*$D$110</f>
        <v>0</v>
      </c>
      <c r="F110" s="388">
        <f t="shared" si="1"/>
        <v>0</v>
      </c>
      <c r="G110" s="388">
        <f t="shared" si="2"/>
        <v>0</v>
      </c>
      <c r="H110" s="388">
        <f t="shared" si="3"/>
        <v>0</v>
      </c>
      <c r="I110" s="388">
        <f t="shared" si="4"/>
        <v>0</v>
      </c>
      <c r="J110" s="507"/>
      <c r="K110" s="507"/>
      <c r="L110" s="523"/>
      <c r="M110" s="507"/>
      <c r="N110" s="507"/>
      <c r="X110" s="161"/>
      <c r="Y110" s="161"/>
    </row>
    <row r="111" spans="1:25" hidden="1" x14ac:dyDescent="0.2">
      <c r="B111" s="592" t="s">
        <v>257</v>
      </c>
      <c r="C111" s="387"/>
      <c r="D111" s="578">
        <v>0.6</v>
      </c>
      <c r="E111" s="388">
        <f>(SUM(D23:E23))*$D$111</f>
        <v>0</v>
      </c>
      <c r="F111" s="388">
        <f t="shared" si="1"/>
        <v>0</v>
      </c>
      <c r="G111" s="388">
        <f t="shared" si="2"/>
        <v>0</v>
      </c>
      <c r="H111" s="388">
        <f t="shared" si="3"/>
        <v>0</v>
      </c>
      <c r="I111" s="388">
        <f t="shared" si="4"/>
        <v>0</v>
      </c>
      <c r="J111" s="507"/>
      <c r="K111" s="507"/>
      <c r="L111" s="523"/>
      <c r="M111" s="507"/>
      <c r="N111" s="507"/>
      <c r="X111" s="161"/>
      <c r="Y111" s="161"/>
    </row>
    <row r="112" spans="1:25" hidden="1" x14ac:dyDescent="0.2">
      <c r="B112" s="592" t="s">
        <v>245</v>
      </c>
      <c r="C112" s="387"/>
      <c r="D112" s="578">
        <v>0.6</v>
      </c>
      <c r="E112" s="388">
        <f>(SUM(D24:E24))*$D$112</f>
        <v>0</v>
      </c>
      <c r="F112" s="388">
        <f t="shared" si="1"/>
        <v>0</v>
      </c>
      <c r="G112" s="388">
        <f t="shared" si="2"/>
        <v>0</v>
      </c>
      <c r="H112" s="388">
        <f t="shared" si="3"/>
        <v>0</v>
      </c>
      <c r="I112" s="388">
        <f t="shared" si="4"/>
        <v>0</v>
      </c>
      <c r="J112" s="507"/>
      <c r="K112" s="507"/>
      <c r="L112" s="523"/>
      <c r="M112" s="507"/>
      <c r="N112" s="507"/>
      <c r="X112" s="161"/>
      <c r="Y112" s="161"/>
    </row>
    <row r="113" spans="2:25" ht="15.75" hidden="1" thickBot="1" x14ac:dyDescent="0.25">
      <c r="B113" s="592" t="s">
        <v>44</v>
      </c>
      <c r="C113" s="387"/>
      <c r="D113" s="578">
        <v>21.2</v>
      </c>
      <c r="E113" s="388">
        <f>SUM(D25:E25)*$D$113</f>
        <v>0</v>
      </c>
      <c r="F113" s="388">
        <f>SUM(F25:G25)*D113</f>
        <v>0</v>
      </c>
      <c r="G113" s="388">
        <f>SUM(H25:I25)*D113</f>
        <v>0</v>
      </c>
      <c r="H113" s="388">
        <f>SUM(J25:K25)*D113</f>
        <v>0</v>
      </c>
      <c r="I113" s="388">
        <f>SUM(L25:M25)*D113</f>
        <v>0</v>
      </c>
      <c r="J113" s="507"/>
      <c r="K113" s="507"/>
      <c r="L113" s="523"/>
      <c r="M113" s="507"/>
      <c r="N113" s="507"/>
      <c r="X113" s="161"/>
      <c r="Y113" s="161"/>
    </row>
    <row r="114" spans="2:25" ht="15.75" hidden="1" thickBot="1" x14ac:dyDescent="0.25">
      <c r="B114" s="507"/>
      <c r="C114" s="507"/>
      <c r="D114" s="390" t="s">
        <v>283</v>
      </c>
      <c r="E114" s="558">
        <f>SUM(E105:E113)</f>
        <v>0</v>
      </c>
      <c r="F114" s="558">
        <f t="shared" ref="F114:I114" si="5">SUM(F105:F113)</f>
        <v>0</v>
      </c>
      <c r="G114" s="558">
        <f t="shared" si="5"/>
        <v>0</v>
      </c>
      <c r="H114" s="558">
        <f t="shared" si="5"/>
        <v>0</v>
      </c>
      <c r="I114" s="558">
        <f t="shared" si="5"/>
        <v>0</v>
      </c>
      <c r="J114" s="507"/>
      <c r="K114" s="507"/>
      <c r="L114" s="523"/>
      <c r="M114" s="507"/>
      <c r="N114" s="507"/>
      <c r="X114" s="161"/>
      <c r="Y114" s="161"/>
    </row>
    <row r="115" spans="2:25" hidden="1" x14ac:dyDescent="0.2">
      <c r="B115" s="507"/>
      <c r="C115" s="507"/>
      <c r="D115" s="507"/>
      <c r="E115" s="507"/>
      <c r="F115" s="507"/>
      <c r="G115" s="507"/>
      <c r="H115" s="507"/>
      <c r="I115" s="507"/>
      <c r="J115" s="507"/>
      <c r="K115" s="573"/>
      <c r="L115" s="507"/>
      <c r="M115" s="507"/>
      <c r="N115" s="523"/>
    </row>
    <row r="116" spans="2:25" hidden="1" x14ac:dyDescent="0.2">
      <c r="B116" s="507"/>
      <c r="C116" s="507"/>
      <c r="D116" s="507"/>
      <c r="E116" s="507"/>
      <c r="F116" s="507"/>
      <c r="G116" s="507"/>
      <c r="H116" s="507"/>
      <c r="I116" s="507"/>
      <c r="J116" s="507"/>
      <c r="K116" s="573"/>
      <c r="L116" s="507"/>
      <c r="M116" s="507"/>
      <c r="N116" s="507"/>
    </row>
    <row r="117" spans="2:25" hidden="1" x14ac:dyDescent="0.2">
      <c r="B117" s="507"/>
      <c r="C117" s="507"/>
      <c r="D117" s="507"/>
      <c r="E117" s="507"/>
      <c r="F117" s="507"/>
      <c r="G117" s="507"/>
      <c r="H117" s="507"/>
      <c r="I117" s="507"/>
      <c r="J117" s="507"/>
      <c r="K117" s="573"/>
      <c r="L117" s="507"/>
      <c r="M117" s="507"/>
      <c r="N117" s="507"/>
    </row>
    <row r="118" spans="2:25" hidden="1" x14ac:dyDescent="0.2">
      <c r="B118" s="507"/>
      <c r="C118" s="507"/>
      <c r="D118" s="507"/>
      <c r="E118" s="507"/>
      <c r="F118" s="507"/>
      <c r="G118" s="1096" t="s">
        <v>418</v>
      </c>
      <c r="H118" s="1096"/>
      <c r="I118" s="1096"/>
      <c r="J118" s="1096"/>
      <c r="K118" s="1096"/>
      <c r="L118" s="1096"/>
      <c r="M118" s="1096"/>
    </row>
    <row r="119" spans="2:25" ht="15.75" hidden="1" thickBot="1" x14ac:dyDescent="0.25">
      <c r="B119" s="507"/>
      <c r="C119" s="507"/>
      <c r="D119" s="507"/>
      <c r="E119" s="507"/>
      <c r="F119" s="507"/>
      <c r="G119" s="1096"/>
      <c r="H119" s="1096"/>
      <c r="I119" s="1096"/>
      <c r="J119" s="1096"/>
      <c r="K119" s="1096"/>
      <c r="L119" s="1096"/>
      <c r="M119" s="1096"/>
    </row>
    <row r="120" spans="2:25" ht="48" hidden="1" x14ac:dyDescent="0.2">
      <c r="B120" s="605" t="s">
        <v>215</v>
      </c>
      <c r="C120" s="606"/>
      <c r="D120" s="606"/>
      <c r="E120" s="607"/>
      <c r="F120" s="507"/>
      <c r="G120" s="586" t="s">
        <v>323</v>
      </c>
      <c r="H120" s="392" t="s">
        <v>419</v>
      </c>
      <c r="I120" s="288" t="s">
        <v>175</v>
      </c>
      <c r="J120" s="392" t="s">
        <v>420</v>
      </c>
      <c r="K120" s="288" t="s">
        <v>175</v>
      </c>
      <c r="L120" s="392" t="s">
        <v>421</v>
      </c>
      <c r="M120" s="288" t="s">
        <v>175</v>
      </c>
    </row>
    <row r="121" spans="2:25" hidden="1" x14ac:dyDescent="0.2">
      <c r="B121" s="599" t="s">
        <v>207</v>
      </c>
      <c r="C121" s="586" t="s">
        <v>217</v>
      </c>
      <c r="D121" s="898" t="s">
        <v>54</v>
      </c>
      <c r="E121" s="902"/>
      <c r="F121" s="507"/>
      <c r="G121" s="393">
        <f>(1000/I121)-10</f>
        <v>16.315789473684209</v>
      </c>
      <c r="H121" s="394">
        <f>('SITE DATA'!$F$26-(0.2*G121))^2/('SITE DATA'!$F$26+(0.8*G121))</f>
        <v>0.8157894736842104</v>
      </c>
      <c r="I121" s="395">
        <v>38</v>
      </c>
      <c r="J121" s="394">
        <f>('SITE DATA'!$F$27-(0.2*G121))^2/('SITE DATA'!$F$27+(0.8*G121))</f>
        <v>0.8157894736842104</v>
      </c>
      <c r="K121" s="395">
        <v>38</v>
      </c>
      <c r="L121" s="394">
        <f>('SITE DATA'!$F$28-(0.2*G121))^2/('SITE DATA'!$F$28+(0.8*G121))</f>
        <v>0.8157894736842104</v>
      </c>
      <c r="M121" s="395">
        <v>38</v>
      </c>
    </row>
    <row r="122" spans="2:25" hidden="1" x14ac:dyDescent="0.2">
      <c r="B122" s="600" t="s">
        <v>521</v>
      </c>
      <c r="C122" s="598">
        <v>0.35</v>
      </c>
      <c r="D122" s="1094">
        <v>0.85</v>
      </c>
      <c r="E122" s="1095"/>
      <c r="F122" s="507"/>
      <c r="G122" s="393">
        <f>(1000/I122)-10</f>
        <v>15.641025641025642</v>
      </c>
      <c r="H122" s="394">
        <f>('SITE DATA'!$F$26-(0.2*G122))^2/('SITE DATA'!$F$26+(0.8*G122))</f>
        <v>0.78205128205128227</v>
      </c>
      <c r="I122" s="395">
        <v>39</v>
      </c>
      <c r="J122" s="394">
        <f>('SITE DATA'!$F$27-(0.2*G122))^2/('SITE DATA'!$F$27+(0.8*G122))</f>
        <v>0.78205128205128227</v>
      </c>
      <c r="K122" s="395">
        <v>39</v>
      </c>
      <c r="L122" s="394">
        <f>('SITE DATA'!$F$28-(0.2*G122))^2/('SITE DATA'!$F$28+(0.8*G122))</f>
        <v>0.78205128205128227</v>
      </c>
      <c r="M122" s="395">
        <v>39</v>
      </c>
    </row>
    <row r="123" spans="2:25" hidden="1" x14ac:dyDescent="0.2">
      <c r="B123" s="600" t="s">
        <v>520</v>
      </c>
      <c r="C123" s="598">
        <v>0.4</v>
      </c>
      <c r="D123" s="1094">
        <v>0.85</v>
      </c>
      <c r="E123" s="1095"/>
      <c r="F123" s="507"/>
      <c r="G123" s="393">
        <f>(1000/I123)-10</f>
        <v>15</v>
      </c>
      <c r="H123" s="394">
        <f>('SITE DATA'!$F$26-(0.2*G123))^2/('SITE DATA'!$F$26+(0.8*G123))</f>
        <v>0.75</v>
      </c>
      <c r="I123" s="395">
        <v>40</v>
      </c>
      <c r="J123" s="394">
        <f>('SITE DATA'!$F$27-(0.2*G123))^2/('SITE DATA'!$F$27+(0.8*G123))</f>
        <v>0.75</v>
      </c>
      <c r="K123" s="395">
        <v>40</v>
      </c>
      <c r="L123" s="394">
        <f>('SITE DATA'!$F$28-(0.2*G123))^2/('SITE DATA'!$F$28+(0.8*G123))</f>
        <v>0.75</v>
      </c>
      <c r="M123" s="395">
        <v>40</v>
      </c>
    </row>
    <row r="124" spans="2:25" hidden="1" x14ac:dyDescent="0.2">
      <c r="B124" s="601" t="s">
        <v>208</v>
      </c>
      <c r="C124" s="598">
        <v>0.4</v>
      </c>
      <c r="D124" s="1094">
        <v>0.85</v>
      </c>
      <c r="E124" s="1095"/>
      <c r="F124" s="507"/>
      <c r="G124" s="393">
        <f>(1000/I124)-10</f>
        <v>14.390243902439025</v>
      </c>
      <c r="H124" s="394">
        <f>('SITE DATA'!$F$26-(0.2*G124))^2/('SITE DATA'!$F$26+(0.8*G124))</f>
        <v>0.71951219512195141</v>
      </c>
      <c r="I124" s="395">
        <v>41</v>
      </c>
      <c r="J124" s="394">
        <f>('SITE DATA'!$F$27-(0.2*G124))^2/('SITE DATA'!$F$27+(0.8*G124))</f>
        <v>0.71951219512195141</v>
      </c>
      <c r="K124" s="395">
        <v>41</v>
      </c>
      <c r="L124" s="394">
        <f>('SITE DATA'!$F$28-(0.2*G124))^2/('SITE DATA'!$F$28+(0.8*G124))</f>
        <v>0.71951219512195141</v>
      </c>
      <c r="M124" s="395">
        <v>41</v>
      </c>
    </row>
    <row r="125" spans="2:25" hidden="1" x14ac:dyDescent="0.2">
      <c r="B125" s="601" t="s">
        <v>51</v>
      </c>
      <c r="C125" s="598">
        <v>0.25</v>
      </c>
      <c r="D125" s="1094">
        <v>0.85</v>
      </c>
      <c r="E125" s="1095"/>
      <c r="F125" s="507"/>
      <c r="G125" s="393">
        <f>(1000/I125)-10</f>
        <v>13.80952380952381</v>
      </c>
      <c r="H125" s="394">
        <f>('SITE DATA'!$F$26-(0.2*G125))^2/('SITE DATA'!$F$26+(0.8*G125))</f>
        <v>0.69047619047619058</v>
      </c>
      <c r="I125" s="395">
        <v>42</v>
      </c>
      <c r="J125" s="394">
        <f>('SITE DATA'!$F$27-(0.2*G125))^2/('SITE DATA'!$F$27+(0.8*G125))</f>
        <v>0.69047619047619058</v>
      </c>
      <c r="K125" s="395">
        <v>42</v>
      </c>
      <c r="L125" s="394">
        <f>('SITE DATA'!$F$28-(0.2*G125))^2/('SITE DATA'!$F$28+(0.8*G125))</f>
        <v>0.69047619047619058</v>
      </c>
      <c r="M125" s="395">
        <v>42</v>
      </c>
    </row>
    <row r="126" spans="2:25" hidden="1" x14ac:dyDescent="0.2">
      <c r="B126" s="601" t="s">
        <v>209</v>
      </c>
      <c r="C126" s="598">
        <v>0.35</v>
      </c>
      <c r="D126" s="1094">
        <v>0.85</v>
      </c>
      <c r="E126" s="1095"/>
      <c r="F126" s="507"/>
      <c r="G126" s="393">
        <f t="shared" ref="G126:G181" si="6">(1000/I126)-10</f>
        <v>13.255813953488371</v>
      </c>
      <c r="H126" s="394">
        <f>('SITE DATA'!$F$26-(0.2*G126))^2/('SITE DATA'!$F$26+(0.8*G126))</f>
        <v>0.66279069767441856</v>
      </c>
      <c r="I126" s="395">
        <v>43</v>
      </c>
      <c r="J126" s="394">
        <f>('SITE DATA'!$F$27-(0.2*G126))^2/('SITE DATA'!$F$27+(0.8*G126))</f>
        <v>0.66279069767441856</v>
      </c>
      <c r="K126" s="395">
        <v>43</v>
      </c>
      <c r="L126" s="394">
        <f>('SITE DATA'!$F$28-(0.2*G126))^2/('SITE DATA'!$F$28+(0.8*G126))</f>
        <v>0.66279069767441856</v>
      </c>
      <c r="M126" s="395">
        <v>43</v>
      </c>
    </row>
    <row r="127" spans="2:25" hidden="1" x14ac:dyDescent="0.2">
      <c r="B127" s="601" t="s">
        <v>210</v>
      </c>
      <c r="C127" s="598">
        <v>0.2</v>
      </c>
      <c r="D127" s="1094">
        <v>0.35</v>
      </c>
      <c r="E127" s="1095"/>
      <c r="F127" s="507"/>
      <c r="G127" s="393">
        <f t="shared" si="6"/>
        <v>12.727272727272727</v>
      </c>
      <c r="H127" s="394">
        <f>('SITE DATA'!$F$26-(0.2*G127))^2/('SITE DATA'!$F$26+(0.8*G127))</f>
        <v>0.63636363636363635</v>
      </c>
      <c r="I127" s="395">
        <v>44</v>
      </c>
      <c r="J127" s="394">
        <f>('SITE DATA'!$F$27-(0.2*G127))^2/('SITE DATA'!$F$27+(0.8*G127))</f>
        <v>0.63636363636363635</v>
      </c>
      <c r="K127" s="395">
        <v>44</v>
      </c>
      <c r="L127" s="394">
        <f>('SITE DATA'!$F$28-(0.2*G127))^2/('SITE DATA'!$F$28+(0.8*G127))</f>
        <v>0.63636363636363635</v>
      </c>
      <c r="M127" s="395">
        <v>44</v>
      </c>
    </row>
    <row r="128" spans="2:25" hidden="1" x14ac:dyDescent="0.2">
      <c r="B128" s="601" t="s">
        <v>52</v>
      </c>
      <c r="C128" s="598">
        <v>0.2</v>
      </c>
      <c r="D128" s="1094">
        <v>0.35</v>
      </c>
      <c r="E128" s="1095"/>
      <c r="F128" s="507"/>
      <c r="G128" s="393">
        <f t="shared" si="6"/>
        <v>12.222222222222221</v>
      </c>
      <c r="H128" s="394">
        <f>('SITE DATA'!$F$26-(0.2*G128))^2/('SITE DATA'!$F$26+(0.8*G128))</f>
        <v>0.61111111111111116</v>
      </c>
      <c r="I128" s="395">
        <v>45</v>
      </c>
      <c r="J128" s="394">
        <f>('SITE DATA'!$F$27-(0.2*G128))^2/('SITE DATA'!$F$27+(0.8*G128))</f>
        <v>0.61111111111111116</v>
      </c>
      <c r="K128" s="395">
        <v>45</v>
      </c>
      <c r="L128" s="394">
        <f>('SITE DATA'!$F$28-(0.2*G128))^2/('SITE DATA'!$F$28+(0.8*G128))</f>
        <v>0.61111111111111116</v>
      </c>
      <c r="M128" s="395">
        <v>45</v>
      </c>
    </row>
    <row r="129" spans="2:13" hidden="1" x14ac:dyDescent="0.2">
      <c r="B129" s="601" t="s">
        <v>211</v>
      </c>
      <c r="C129" s="598">
        <v>0.3</v>
      </c>
      <c r="D129" s="1094">
        <v>0.6</v>
      </c>
      <c r="E129" s="1095"/>
      <c r="F129" s="507"/>
      <c r="G129" s="393">
        <f t="shared" si="6"/>
        <v>11.739130434782609</v>
      </c>
      <c r="H129" s="394">
        <f>('SITE DATA'!$F$26-(0.2*G129))^2/('SITE DATA'!$F$26+(0.8*G129))</f>
        <v>0.58695652173913049</v>
      </c>
      <c r="I129" s="395">
        <v>46</v>
      </c>
      <c r="J129" s="394">
        <f>('SITE DATA'!$F$27-(0.2*G129))^2/('SITE DATA'!$F$27+(0.8*G129))</f>
        <v>0.58695652173913049</v>
      </c>
      <c r="K129" s="395">
        <v>46</v>
      </c>
      <c r="L129" s="394">
        <f>('SITE DATA'!$F$28-(0.2*G129))^2/('SITE DATA'!$F$28+(0.8*G129))</f>
        <v>0.58695652173913049</v>
      </c>
      <c r="M129" s="395">
        <v>46</v>
      </c>
    </row>
    <row r="130" spans="2:13" hidden="1" x14ac:dyDescent="0.2">
      <c r="B130" s="601" t="s">
        <v>212</v>
      </c>
      <c r="C130" s="598">
        <v>0.3</v>
      </c>
      <c r="D130" s="1094">
        <v>0.85</v>
      </c>
      <c r="E130" s="1095"/>
      <c r="F130" s="507"/>
      <c r="G130" s="393">
        <f t="shared" si="6"/>
        <v>11.276595744680851</v>
      </c>
      <c r="H130" s="394">
        <f>('SITE DATA'!$F$26-(0.2*G130))^2/('SITE DATA'!$F$26+(0.8*G130))</f>
        <v>0.56382978723404253</v>
      </c>
      <c r="I130" s="395">
        <v>47</v>
      </c>
      <c r="J130" s="394">
        <f>('SITE DATA'!$F$27-(0.2*G130))^2/('SITE DATA'!$F$27+(0.8*G130))</f>
        <v>0.56382978723404253</v>
      </c>
      <c r="K130" s="395">
        <v>47</v>
      </c>
      <c r="L130" s="394">
        <f>('SITE DATA'!$F$28-(0.2*G130))^2/('SITE DATA'!$F$28+(0.8*G130))</f>
        <v>0.56382978723404253</v>
      </c>
      <c r="M130" s="395">
        <v>47</v>
      </c>
    </row>
    <row r="131" spans="2:13" hidden="1" x14ac:dyDescent="0.2">
      <c r="B131" s="601" t="s">
        <v>213</v>
      </c>
      <c r="C131" s="598">
        <v>0.1</v>
      </c>
      <c r="D131" s="1094">
        <v>0.5</v>
      </c>
      <c r="E131" s="1095"/>
      <c r="F131" s="507"/>
      <c r="G131" s="393">
        <f t="shared" si="6"/>
        <v>10.833333333333332</v>
      </c>
      <c r="H131" s="394">
        <f>('SITE DATA'!$F$26-(0.2*G131))^2/('SITE DATA'!$F$26+(0.8*G131))</f>
        <v>0.54166666666666663</v>
      </c>
      <c r="I131" s="395">
        <f>48</f>
        <v>48</v>
      </c>
      <c r="J131" s="394">
        <f>('SITE DATA'!$F$27-(0.2*G131))^2/('SITE DATA'!$F$27+(0.8*G131))</f>
        <v>0.54166666666666663</v>
      </c>
      <c r="K131" s="395">
        <f>48</f>
        <v>48</v>
      </c>
      <c r="L131" s="394">
        <f>('SITE DATA'!$F$28-(0.2*G131))^2/('SITE DATA'!$F$28+(0.8*G131))</f>
        <v>0.54166666666666663</v>
      </c>
      <c r="M131" s="395">
        <f>48</f>
        <v>48</v>
      </c>
    </row>
    <row r="132" spans="2:13" hidden="1" x14ac:dyDescent="0.2">
      <c r="B132" s="601" t="s">
        <v>53</v>
      </c>
      <c r="C132" s="598">
        <v>0</v>
      </c>
      <c r="D132" s="1094">
        <v>0</v>
      </c>
      <c r="E132" s="1095"/>
      <c r="F132" s="507"/>
      <c r="G132" s="393">
        <f t="shared" si="6"/>
        <v>10.408163265306122</v>
      </c>
      <c r="H132" s="394">
        <f>('SITE DATA'!$F$26-(0.2*G132))^2/('SITE DATA'!$F$26+(0.8*G132))</f>
        <v>0.52040816326530615</v>
      </c>
      <c r="I132" s="395">
        <f t="shared" ref="I132:I181" si="7">I131+1</f>
        <v>49</v>
      </c>
      <c r="J132" s="394">
        <f>('SITE DATA'!$F$27-(0.2*G132))^2/('SITE DATA'!$F$27+(0.8*G132))</f>
        <v>0.52040816326530615</v>
      </c>
      <c r="K132" s="395">
        <f t="shared" ref="K132:K181" si="8">K131+1</f>
        <v>49</v>
      </c>
      <c r="L132" s="394">
        <f>('SITE DATA'!$F$28-(0.2*G132))^2/('SITE DATA'!$F$28+(0.8*G132))</f>
        <v>0.52040816326530615</v>
      </c>
      <c r="M132" s="395">
        <f t="shared" ref="M132:M181" si="9">M131+1</f>
        <v>49</v>
      </c>
    </row>
    <row r="133" spans="2:13" hidden="1" x14ac:dyDescent="0.2">
      <c r="B133" s="601" t="s">
        <v>579</v>
      </c>
      <c r="C133" s="598">
        <v>0</v>
      </c>
      <c r="D133" s="1094">
        <v>0</v>
      </c>
      <c r="E133" s="1095"/>
      <c r="F133" s="507"/>
      <c r="G133" s="393">
        <f>(1000/I133)-10</f>
        <v>10</v>
      </c>
      <c r="H133" s="394">
        <f>('SITE DATA'!$F$26-(0.2*G133))^2/('SITE DATA'!$F$26+(0.8*G133))</f>
        <v>0.5</v>
      </c>
      <c r="I133" s="395">
        <f t="shared" si="7"/>
        <v>50</v>
      </c>
      <c r="J133" s="394">
        <f>('SITE DATA'!$F$27-(0.2*G133))^2/('SITE DATA'!$F$27+(0.8*G133))</f>
        <v>0.5</v>
      </c>
      <c r="K133" s="395">
        <f t="shared" si="8"/>
        <v>50</v>
      </c>
      <c r="L133" s="394">
        <f>('SITE DATA'!$F$28-(0.2*G133))^2/('SITE DATA'!$F$28+(0.8*G133))</f>
        <v>0.5</v>
      </c>
      <c r="M133" s="395">
        <f t="shared" si="9"/>
        <v>50</v>
      </c>
    </row>
    <row r="134" spans="2:13" ht="15.75" hidden="1" thickBot="1" x14ac:dyDescent="0.25">
      <c r="B134" s="602" t="s">
        <v>564</v>
      </c>
      <c r="C134" s="604">
        <f>IF(C13="Yes",G13,F134)</f>
        <v>1</v>
      </c>
      <c r="D134" s="1036" t="s">
        <v>563</v>
      </c>
      <c r="E134" s="1037"/>
      <c r="F134" s="616">
        <v>1</v>
      </c>
      <c r="G134" s="393">
        <f t="shared" si="6"/>
        <v>9.6078431372549034</v>
      </c>
      <c r="H134" s="394">
        <f>('SITE DATA'!$F$26-(0.2*G134))^2/('SITE DATA'!$F$26+(0.8*G134))</f>
        <v>0.48039215686274517</v>
      </c>
      <c r="I134" s="395">
        <f t="shared" si="7"/>
        <v>51</v>
      </c>
      <c r="J134" s="394">
        <f>('SITE DATA'!$F$27-(0.2*G134))^2/('SITE DATA'!$F$27+(0.8*G134))</f>
        <v>0.48039215686274517</v>
      </c>
      <c r="K134" s="395">
        <f t="shared" si="8"/>
        <v>51</v>
      </c>
      <c r="L134" s="394">
        <f>('SITE DATA'!$F$28-(0.2*G134))^2/('SITE DATA'!$F$28+(0.8*G134))</f>
        <v>0.48039215686274517</v>
      </c>
      <c r="M134" s="395">
        <f t="shared" si="9"/>
        <v>51</v>
      </c>
    </row>
    <row r="135" spans="2:13" hidden="1" x14ac:dyDescent="0.2">
      <c r="B135" s="514"/>
      <c r="C135" s="514"/>
      <c r="D135" s="507"/>
      <c r="E135" s="507"/>
      <c r="F135" s="507"/>
      <c r="G135" s="393">
        <f t="shared" si="6"/>
        <v>9.2307692307692299</v>
      </c>
      <c r="H135" s="394">
        <f>('SITE DATA'!$F$26-(0.2*G135))^2/('SITE DATA'!$F$26+(0.8*G135))</f>
        <v>0.46153846153846151</v>
      </c>
      <c r="I135" s="395">
        <f t="shared" si="7"/>
        <v>52</v>
      </c>
      <c r="J135" s="394">
        <f>('SITE DATA'!$F$27-(0.2*G135))^2/('SITE DATA'!$F$27+(0.8*G135))</f>
        <v>0.46153846153846151</v>
      </c>
      <c r="K135" s="395">
        <f t="shared" si="8"/>
        <v>52</v>
      </c>
      <c r="L135" s="394">
        <f>('SITE DATA'!$F$28-(0.2*G135))^2/('SITE DATA'!$F$28+(0.8*G135))</f>
        <v>0.46153846153846151</v>
      </c>
      <c r="M135" s="395">
        <f t="shared" si="9"/>
        <v>52</v>
      </c>
    </row>
    <row r="136" spans="2:13" hidden="1" x14ac:dyDescent="0.2">
      <c r="B136" s="514"/>
      <c r="C136" s="514"/>
      <c r="D136" s="507"/>
      <c r="E136" s="396"/>
      <c r="F136" s="507"/>
      <c r="G136" s="393">
        <f t="shared" si="6"/>
        <v>8.8679245283018879</v>
      </c>
      <c r="H136" s="394">
        <f>('SITE DATA'!$F$26-(0.2*G136))^2/('SITE DATA'!$F$26+(0.8*G136))</f>
        <v>0.44339622641509441</v>
      </c>
      <c r="I136" s="395">
        <f t="shared" si="7"/>
        <v>53</v>
      </c>
      <c r="J136" s="394">
        <f>('SITE DATA'!$F$27-(0.2*G136))^2/('SITE DATA'!$F$27+(0.8*G136))</f>
        <v>0.44339622641509441</v>
      </c>
      <c r="K136" s="395">
        <f t="shared" si="8"/>
        <v>53</v>
      </c>
      <c r="L136" s="394">
        <f>('SITE DATA'!$F$28-(0.2*G136))^2/('SITE DATA'!$F$28+(0.8*G136))</f>
        <v>0.44339622641509441</v>
      </c>
      <c r="M136" s="395">
        <f t="shared" si="9"/>
        <v>53</v>
      </c>
    </row>
    <row r="137" spans="2:13" hidden="1" x14ac:dyDescent="0.2">
      <c r="B137" s="507"/>
      <c r="C137" s="507"/>
      <c r="D137" s="507"/>
      <c r="E137" s="507"/>
      <c r="F137" s="507"/>
      <c r="G137" s="393">
        <f t="shared" si="6"/>
        <v>8.518518518518519</v>
      </c>
      <c r="H137" s="394">
        <f>('SITE DATA'!$F$26-(0.2*G137))^2/('SITE DATA'!$F$26+(0.8*G137))</f>
        <v>0.42592592592592599</v>
      </c>
      <c r="I137" s="395">
        <f t="shared" si="7"/>
        <v>54</v>
      </c>
      <c r="J137" s="394">
        <f>('SITE DATA'!$F$27-(0.2*G137))^2/('SITE DATA'!$F$27+(0.8*G137))</f>
        <v>0.42592592592592599</v>
      </c>
      <c r="K137" s="395">
        <f t="shared" si="8"/>
        <v>54</v>
      </c>
      <c r="L137" s="394">
        <f>('SITE DATA'!$F$28-(0.2*G137))^2/('SITE DATA'!$F$28+(0.8*G137))</f>
        <v>0.42592592592592599</v>
      </c>
      <c r="M137" s="395">
        <f t="shared" si="9"/>
        <v>54</v>
      </c>
    </row>
    <row r="138" spans="2:13" hidden="1" x14ac:dyDescent="0.2">
      <c r="B138" s="507"/>
      <c r="C138" s="507"/>
      <c r="D138" s="507"/>
      <c r="E138" s="507"/>
      <c r="F138" s="396"/>
      <c r="G138" s="393">
        <f t="shared" si="6"/>
        <v>8.1818181818181834</v>
      </c>
      <c r="H138" s="394">
        <f>('SITE DATA'!$F$26-(0.2*G138))^2/('SITE DATA'!$F$26+(0.8*G138))</f>
        <v>0.40909090909090912</v>
      </c>
      <c r="I138" s="395">
        <f t="shared" si="7"/>
        <v>55</v>
      </c>
      <c r="J138" s="394">
        <f>('SITE DATA'!$F$27-(0.2*G138))^2/('SITE DATA'!$F$27+(0.8*G138))</f>
        <v>0.40909090909090912</v>
      </c>
      <c r="K138" s="395">
        <f t="shared" si="8"/>
        <v>55</v>
      </c>
      <c r="L138" s="394">
        <f>('SITE DATA'!$F$28-(0.2*G138))^2/('SITE DATA'!$F$28+(0.8*G138))</f>
        <v>0.40909090909090912</v>
      </c>
      <c r="M138" s="395">
        <f t="shared" si="9"/>
        <v>55</v>
      </c>
    </row>
    <row r="139" spans="2:13" hidden="1" x14ac:dyDescent="0.2">
      <c r="B139" s="507"/>
      <c r="C139" s="507"/>
      <c r="D139" s="507"/>
      <c r="E139" s="507"/>
      <c r="F139" s="507"/>
      <c r="G139" s="393">
        <f t="shared" si="6"/>
        <v>7.8571428571428577</v>
      </c>
      <c r="H139" s="394">
        <f>('SITE DATA'!$F$26-(0.2*G139))^2/('SITE DATA'!$F$26+(0.8*G139))</f>
        <v>0.3928571428571429</v>
      </c>
      <c r="I139" s="395">
        <f t="shared" si="7"/>
        <v>56</v>
      </c>
      <c r="J139" s="394">
        <f>('SITE DATA'!$F$27-(0.2*G139))^2/('SITE DATA'!$F$27+(0.8*G139))</f>
        <v>0.3928571428571429</v>
      </c>
      <c r="K139" s="395">
        <f t="shared" si="8"/>
        <v>56</v>
      </c>
      <c r="L139" s="394">
        <f>('SITE DATA'!$F$28-(0.2*G139))^2/('SITE DATA'!$F$28+(0.8*G139))</f>
        <v>0.3928571428571429</v>
      </c>
      <c r="M139" s="395">
        <f t="shared" si="9"/>
        <v>56</v>
      </c>
    </row>
    <row r="140" spans="2:13" hidden="1" x14ac:dyDescent="0.2">
      <c r="B140" s="507"/>
      <c r="C140" s="507"/>
      <c r="D140" s="507"/>
      <c r="E140" s="507"/>
      <c r="F140" s="507"/>
      <c r="G140" s="393">
        <f t="shared" si="6"/>
        <v>7.5438596491228083</v>
      </c>
      <c r="H140" s="394">
        <f>('SITE DATA'!$F$26-(0.2*G140))^2/('SITE DATA'!$F$26+(0.8*G140))</f>
        <v>0.37719298245614041</v>
      </c>
      <c r="I140" s="395">
        <f t="shared" si="7"/>
        <v>57</v>
      </c>
      <c r="J140" s="394">
        <f>('SITE DATA'!$F$27-(0.2*G140))^2/('SITE DATA'!$F$27+(0.8*G140))</f>
        <v>0.37719298245614041</v>
      </c>
      <c r="K140" s="395">
        <f t="shared" si="8"/>
        <v>57</v>
      </c>
      <c r="L140" s="394">
        <f>('SITE DATA'!$F$28-(0.2*G140))^2/('SITE DATA'!$F$28+(0.8*G140))</f>
        <v>0.37719298245614041</v>
      </c>
      <c r="M140" s="395">
        <f t="shared" si="9"/>
        <v>57</v>
      </c>
    </row>
    <row r="141" spans="2:13" hidden="1" x14ac:dyDescent="0.2">
      <c r="B141" s="507"/>
      <c r="C141" s="507"/>
      <c r="D141" s="507"/>
      <c r="E141" s="507"/>
      <c r="F141" s="507"/>
      <c r="G141" s="393">
        <f t="shared" si="6"/>
        <v>7.2413793103448292</v>
      </c>
      <c r="H141" s="394">
        <f>('SITE DATA'!$F$26-(0.2*G141))^2/('SITE DATA'!$F$26+(0.8*G141))</f>
        <v>0.36206896551724144</v>
      </c>
      <c r="I141" s="395">
        <f t="shared" si="7"/>
        <v>58</v>
      </c>
      <c r="J141" s="394">
        <f>('SITE DATA'!$F$27-(0.2*G141))^2/('SITE DATA'!$F$27+(0.8*G141))</f>
        <v>0.36206896551724144</v>
      </c>
      <c r="K141" s="395">
        <f t="shared" si="8"/>
        <v>58</v>
      </c>
      <c r="L141" s="394">
        <f>('SITE DATA'!$F$28-(0.2*G141))^2/('SITE DATA'!$F$28+(0.8*G141))</f>
        <v>0.36206896551724144</v>
      </c>
      <c r="M141" s="395">
        <f t="shared" si="9"/>
        <v>58</v>
      </c>
    </row>
    <row r="142" spans="2:13" ht="15.75" hidden="1" thickBot="1" x14ac:dyDescent="0.25">
      <c r="B142" s="507"/>
      <c r="C142" s="507"/>
      <c r="D142" s="507"/>
      <c r="E142" s="507"/>
      <c r="F142" s="507"/>
      <c r="G142" s="393">
        <f t="shared" si="6"/>
        <v>6.9491525423728824</v>
      </c>
      <c r="H142" s="394">
        <f>('SITE DATA'!$F$26-(0.2*G142))^2/('SITE DATA'!$F$26+(0.8*G142))</f>
        <v>0.34745762711864414</v>
      </c>
      <c r="I142" s="395">
        <f t="shared" si="7"/>
        <v>59</v>
      </c>
      <c r="J142" s="394">
        <f>('SITE DATA'!$F$27-(0.2*G142))^2/('SITE DATA'!$F$27+(0.8*G142))</f>
        <v>0.34745762711864414</v>
      </c>
      <c r="K142" s="395">
        <f t="shared" si="8"/>
        <v>59</v>
      </c>
      <c r="L142" s="394">
        <f>('SITE DATA'!$F$28-(0.2*G142))^2/('SITE DATA'!$F$28+(0.8*G142))</f>
        <v>0.34745762711864414</v>
      </c>
      <c r="M142" s="395">
        <f t="shared" si="9"/>
        <v>59</v>
      </c>
    </row>
    <row r="143" spans="2:13" ht="16.5" hidden="1" thickBot="1" x14ac:dyDescent="0.3">
      <c r="B143" s="612" t="s">
        <v>532</v>
      </c>
      <c r="C143" s="543"/>
      <c r="D143" s="544"/>
      <c r="E143" s="507"/>
      <c r="F143" s="507"/>
      <c r="G143" s="393">
        <f t="shared" si="6"/>
        <v>6.6666666666666679</v>
      </c>
      <c r="H143" s="394">
        <f>('SITE DATA'!$F$26-(0.2*G143))^2/('SITE DATA'!$F$26+(0.8*G143))</f>
        <v>0.33333333333333343</v>
      </c>
      <c r="I143" s="395">
        <f t="shared" si="7"/>
        <v>60</v>
      </c>
      <c r="J143" s="394">
        <f>('SITE DATA'!$F$27-(0.2*G143))^2/('SITE DATA'!$F$27+(0.8*G143))</f>
        <v>0.33333333333333343</v>
      </c>
      <c r="K143" s="395">
        <f t="shared" si="8"/>
        <v>60</v>
      </c>
      <c r="L143" s="394">
        <f>('SITE DATA'!$F$28-(0.2*G143))^2/('SITE DATA'!$F$28+(0.8*G143))</f>
        <v>0.33333333333333343</v>
      </c>
      <c r="M143" s="395">
        <f t="shared" si="9"/>
        <v>60</v>
      </c>
    </row>
    <row r="144" spans="2:13" hidden="1" x14ac:dyDescent="0.2">
      <c r="B144" s="530"/>
      <c r="C144" s="512"/>
      <c r="D144" s="522"/>
      <c r="E144" s="507"/>
      <c r="F144" s="507"/>
      <c r="G144" s="393">
        <f t="shared" si="6"/>
        <v>6.3934426229508183</v>
      </c>
      <c r="H144" s="394">
        <f>('SITE DATA'!$F$26-(0.2*G144))^2/('SITE DATA'!$F$26+(0.8*G144))</f>
        <v>0.31967213114754095</v>
      </c>
      <c r="I144" s="395">
        <f t="shared" si="7"/>
        <v>61</v>
      </c>
      <c r="J144" s="394">
        <f>('SITE DATA'!$F$27-(0.2*G144))^2/('SITE DATA'!$F$27+(0.8*G144))</f>
        <v>0.31967213114754095</v>
      </c>
      <c r="K144" s="395">
        <f t="shared" si="8"/>
        <v>61</v>
      </c>
      <c r="L144" s="394">
        <f>('SITE DATA'!$F$28-(0.2*G144))^2/('SITE DATA'!$F$28+(0.8*G144))</f>
        <v>0.31967213114754095</v>
      </c>
      <c r="M144" s="395">
        <f t="shared" si="9"/>
        <v>61</v>
      </c>
    </row>
    <row r="145" spans="2:13" ht="19.5" hidden="1" x14ac:dyDescent="0.35">
      <c r="B145" s="509" t="s">
        <v>534</v>
      </c>
      <c r="C145" s="506"/>
      <c r="D145" s="513"/>
      <c r="E145" s="507"/>
      <c r="F145" s="507"/>
      <c r="G145" s="393">
        <f t="shared" si="6"/>
        <v>6.129032258064516</v>
      </c>
      <c r="H145" s="394">
        <f>('SITE DATA'!$F$26-(0.2*G145))^2/('SITE DATA'!$F$26+(0.8*G145))</f>
        <v>0.30645161290322581</v>
      </c>
      <c r="I145" s="395">
        <f t="shared" si="7"/>
        <v>62</v>
      </c>
      <c r="J145" s="394">
        <f>('SITE DATA'!$F$27-(0.2*G145))^2/('SITE DATA'!$F$27+(0.8*G145))</f>
        <v>0.30645161290322581</v>
      </c>
      <c r="K145" s="395">
        <f t="shared" si="8"/>
        <v>62</v>
      </c>
      <c r="L145" s="394">
        <f>('SITE DATA'!$F$28-(0.2*G145))^2/('SITE DATA'!$F$28+(0.8*G145))</f>
        <v>0.30645161290322581</v>
      </c>
      <c r="M145" s="395">
        <f t="shared" si="9"/>
        <v>62</v>
      </c>
    </row>
    <row r="146" spans="2:13" hidden="1" x14ac:dyDescent="0.2">
      <c r="B146" s="509" t="s">
        <v>535</v>
      </c>
      <c r="C146" s="506"/>
      <c r="D146" s="513"/>
      <c r="E146" s="507"/>
      <c r="F146" s="507"/>
      <c r="G146" s="393">
        <f t="shared" si="6"/>
        <v>5.8730158730158735</v>
      </c>
      <c r="H146" s="394">
        <f>('SITE DATA'!$F$26-(0.2*G146))^2/('SITE DATA'!$F$26+(0.8*G146))</f>
        <v>0.29365079365079366</v>
      </c>
      <c r="I146" s="395">
        <f t="shared" si="7"/>
        <v>63</v>
      </c>
      <c r="J146" s="394">
        <f>('SITE DATA'!$F$27-(0.2*G146))^2/('SITE DATA'!$F$27+(0.8*G146))</f>
        <v>0.29365079365079366</v>
      </c>
      <c r="K146" s="395">
        <f t="shared" si="8"/>
        <v>63</v>
      </c>
      <c r="L146" s="394">
        <f>('SITE DATA'!$F$28-(0.2*G146))^2/('SITE DATA'!$F$28+(0.8*G146))</f>
        <v>0.29365079365079366</v>
      </c>
      <c r="M146" s="395">
        <f t="shared" si="9"/>
        <v>63</v>
      </c>
    </row>
    <row r="147" spans="2:13" hidden="1" x14ac:dyDescent="0.2">
      <c r="B147" s="509" t="s">
        <v>539</v>
      </c>
      <c r="C147" s="506"/>
      <c r="D147" s="513"/>
      <c r="E147" s="507"/>
      <c r="F147" s="507"/>
      <c r="G147" s="393">
        <f t="shared" si="6"/>
        <v>5.625</v>
      </c>
      <c r="H147" s="394">
        <f>('SITE DATA'!$F$26-(0.2*G147))^2/('SITE DATA'!$F$26+(0.8*G147))</f>
        <v>0.28125</v>
      </c>
      <c r="I147" s="395">
        <f t="shared" si="7"/>
        <v>64</v>
      </c>
      <c r="J147" s="394">
        <f>('SITE DATA'!$F$27-(0.2*G147))^2/('SITE DATA'!$F$27+(0.8*G147))</f>
        <v>0.28125</v>
      </c>
      <c r="K147" s="395">
        <f t="shared" si="8"/>
        <v>64</v>
      </c>
      <c r="L147" s="394">
        <f>('SITE DATA'!$F$28-(0.2*G147))^2/('SITE DATA'!$F$28+(0.8*G147))</f>
        <v>0.28125</v>
      </c>
      <c r="M147" s="395">
        <f t="shared" si="9"/>
        <v>64</v>
      </c>
    </row>
    <row r="148" spans="2:13" ht="19.5" hidden="1" x14ac:dyDescent="0.35">
      <c r="B148" s="509" t="s">
        <v>541</v>
      </c>
      <c r="C148" s="506"/>
      <c r="D148" s="513"/>
      <c r="E148" s="507"/>
      <c r="F148" s="507"/>
      <c r="G148" s="393">
        <f t="shared" si="6"/>
        <v>5.384615384615385</v>
      </c>
      <c r="H148" s="394">
        <f>('SITE DATA'!$F$26-(0.2*G148))^2/('SITE DATA'!$F$26+(0.8*G148))</f>
        <v>0.26923076923076927</v>
      </c>
      <c r="I148" s="395">
        <f t="shared" si="7"/>
        <v>65</v>
      </c>
      <c r="J148" s="394">
        <f>('SITE DATA'!$F$27-(0.2*G148))^2/('SITE DATA'!$F$27+(0.8*G148))</f>
        <v>0.26923076923076927</v>
      </c>
      <c r="K148" s="395">
        <f t="shared" si="8"/>
        <v>65</v>
      </c>
      <c r="L148" s="394">
        <f>('SITE DATA'!$F$28-(0.2*G148))^2/('SITE DATA'!$F$28+(0.8*G148))</f>
        <v>0.26923076923076927</v>
      </c>
      <c r="M148" s="395">
        <f t="shared" si="9"/>
        <v>65</v>
      </c>
    </row>
    <row r="149" spans="2:13" hidden="1" x14ac:dyDescent="0.2">
      <c r="B149" s="538"/>
      <c r="C149" s="511" t="s">
        <v>543</v>
      </c>
      <c r="D149" s="613" t="e">
        <f>(SUM(D25:E25))/SUM(D17:M25)</f>
        <v>#DIV/0!</v>
      </c>
      <c r="E149" s="507"/>
      <c r="F149" s="507"/>
      <c r="G149" s="393">
        <f t="shared" si="6"/>
        <v>5.1515151515151523</v>
      </c>
      <c r="H149" s="394">
        <f>('SITE DATA'!$F$26-(0.2*G149))^2/('SITE DATA'!$F$26+(0.8*G149))</f>
        <v>0.25757575757575762</v>
      </c>
      <c r="I149" s="395">
        <f t="shared" si="7"/>
        <v>66</v>
      </c>
      <c r="J149" s="394">
        <f>('SITE DATA'!$F$27-(0.2*G149))^2/('SITE DATA'!$F$27+(0.8*G149))</f>
        <v>0.25757575757575762</v>
      </c>
      <c r="K149" s="395">
        <f t="shared" si="8"/>
        <v>66</v>
      </c>
      <c r="L149" s="394">
        <f>('SITE DATA'!$F$28-(0.2*G149))^2/('SITE DATA'!$F$28+(0.8*G149))</f>
        <v>0.25757575757575762</v>
      </c>
      <c r="M149" s="395">
        <f t="shared" si="9"/>
        <v>66</v>
      </c>
    </row>
    <row r="150" spans="2:13" ht="24" hidden="1" thickBot="1" x14ac:dyDescent="0.4">
      <c r="B150" s="540" t="s">
        <v>569</v>
      </c>
      <c r="C150" s="511" t="s">
        <v>547</v>
      </c>
      <c r="D150" s="539" t="e">
        <f>0.05+(0.9*D149)</f>
        <v>#DIV/0!</v>
      </c>
      <c r="E150" s="507" t="s">
        <v>726</v>
      </c>
      <c r="F150" s="507"/>
      <c r="G150" s="393">
        <f t="shared" si="6"/>
        <v>4.9253731343283587</v>
      </c>
      <c r="H150" s="394">
        <f>('SITE DATA'!$F$26-(0.2*G150))^2/('SITE DATA'!$F$26+(0.8*G150))</f>
        <v>0.24626865671641796</v>
      </c>
      <c r="I150" s="395">
        <f t="shared" si="7"/>
        <v>67</v>
      </c>
      <c r="J150" s="394">
        <f>('SITE DATA'!$F$27-(0.2*G150))^2/('SITE DATA'!$F$27+(0.8*G150))</f>
        <v>0.24626865671641796</v>
      </c>
      <c r="K150" s="395">
        <f t="shared" si="8"/>
        <v>67</v>
      </c>
      <c r="L150" s="394">
        <f>('SITE DATA'!$F$28-(0.2*G150))^2/('SITE DATA'!$F$28+(0.8*G150))</f>
        <v>0.24626865671641796</v>
      </c>
      <c r="M150" s="395">
        <f t="shared" si="9"/>
        <v>67</v>
      </c>
    </row>
    <row r="151" spans="2:13" ht="24" hidden="1" thickBot="1" x14ac:dyDescent="0.4">
      <c r="B151" s="540"/>
      <c r="C151" s="534" t="s">
        <v>549</v>
      </c>
      <c r="D151" s="535" t="e">
        <f>3630*1*D150*SUM(D17:E25)</f>
        <v>#DIV/0!</v>
      </c>
      <c r="E151" s="615" t="e">
        <f>D151</f>
        <v>#DIV/0!</v>
      </c>
      <c r="F151" s="507"/>
      <c r="G151" s="393">
        <f t="shared" si="6"/>
        <v>4.7058823529411757</v>
      </c>
      <c r="H151" s="394">
        <f>('SITE DATA'!$F$26-(0.2*G151))^2/('SITE DATA'!$F$26+(0.8*G151))</f>
        <v>0.23529411764705879</v>
      </c>
      <c r="I151" s="395">
        <f t="shared" si="7"/>
        <v>68</v>
      </c>
      <c r="J151" s="394">
        <f>('SITE DATA'!$F$27-(0.2*G151))^2/('SITE DATA'!$F$27+(0.8*G151))</f>
        <v>0.23529411764705879</v>
      </c>
      <c r="K151" s="395">
        <f t="shared" si="8"/>
        <v>68</v>
      </c>
      <c r="L151" s="394">
        <f>('SITE DATA'!$F$28-(0.2*G151))^2/('SITE DATA'!$F$28+(0.8*G151))</f>
        <v>0.23529411764705879</v>
      </c>
      <c r="M151" s="395">
        <f t="shared" si="9"/>
        <v>68</v>
      </c>
    </row>
    <row r="152" spans="2:13" ht="15.75" hidden="1" thickBot="1" x14ac:dyDescent="0.25">
      <c r="B152" s="541"/>
      <c r="C152" s="537"/>
      <c r="D152" s="531"/>
      <c r="E152" s="507"/>
      <c r="F152" s="507"/>
      <c r="G152" s="393">
        <f t="shared" si="6"/>
        <v>4.4927536231884062</v>
      </c>
      <c r="H152" s="394">
        <f>('SITE DATA'!$F$26-(0.2*G152))^2/('SITE DATA'!$F$26+(0.8*G152))</f>
        <v>0.22463768115942032</v>
      </c>
      <c r="I152" s="395">
        <f t="shared" si="7"/>
        <v>69</v>
      </c>
      <c r="J152" s="394">
        <f>('SITE DATA'!$F$27-(0.2*G152))^2/('SITE DATA'!$F$27+(0.8*G152))</f>
        <v>0.22463768115942032</v>
      </c>
      <c r="K152" s="395">
        <f t="shared" si="8"/>
        <v>69</v>
      </c>
      <c r="L152" s="394">
        <f>('SITE DATA'!$F$28-(0.2*G152))^2/('SITE DATA'!$F$28+(0.8*G152))</f>
        <v>0.22463768115942032</v>
      </c>
      <c r="M152" s="395">
        <f t="shared" si="9"/>
        <v>69</v>
      </c>
    </row>
    <row r="153" spans="2:13" hidden="1" x14ac:dyDescent="0.2">
      <c r="B153" s="538"/>
      <c r="C153" s="511" t="s">
        <v>543</v>
      </c>
      <c r="D153" s="613" t="e">
        <f>(SUM(F25:G25))/SUM(D17:M25)</f>
        <v>#DIV/0!</v>
      </c>
      <c r="E153" s="507"/>
      <c r="F153" s="507"/>
      <c r="G153" s="393">
        <f t="shared" si="6"/>
        <v>4.2857142857142865</v>
      </c>
      <c r="H153" s="394">
        <f>('SITE DATA'!$F$26-(0.2*G153))^2/('SITE DATA'!$F$26+(0.8*G153))</f>
        <v>0.21428571428571433</v>
      </c>
      <c r="I153" s="395">
        <f t="shared" si="7"/>
        <v>70</v>
      </c>
      <c r="J153" s="394">
        <f>('SITE DATA'!$F$27-(0.2*G153))^2/('SITE DATA'!$F$27+(0.8*G153))</f>
        <v>0.21428571428571433</v>
      </c>
      <c r="K153" s="395">
        <f t="shared" si="8"/>
        <v>70</v>
      </c>
      <c r="L153" s="394">
        <f>('SITE DATA'!$F$28-(0.2*G153))^2/('SITE DATA'!$F$28+(0.8*G153))</f>
        <v>0.21428571428571433</v>
      </c>
      <c r="M153" s="395">
        <f t="shared" si="9"/>
        <v>70</v>
      </c>
    </row>
    <row r="154" spans="2:13" ht="24" hidden="1" thickBot="1" x14ac:dyDescent="0.4">
      <c r="B154" s="540" t="s">
        <v>570</v>
      </c>
      <c r="C154" s="511" t="s">
        <v>547</v>
      </c>
      <c r="D154" s="539" t="e">
        <f>0.05+(0.9*D153)</f>
        <v>#DIV/0!</v>
      </c>
      <c r="E154" s="507"/>
      <c r="F154" s="507"/>
      <c r="G154" s="393">
        <f t="shared" si="6"/>
        <v>4.0845070422535219</v>
      </c>
      <c r="H154" s="394">
        <f>('SITE DATA'!$F$26-(0.2*G154))^2/('SITE DATA'!$F$26+(0.8*G154))</f>
        <v>0.20422535211267612</v>
      </c>
      <c r="I154" s="395">
        <f t="shared" si="7"/>
        <v>71</v>
      </c>
      <c r="J154" s="394">
        <f>('SITE DATA'!$F$27-(0.2*G154))^2/('SITE DATA'!$F$27+(0.8*G154))</f>
        <v>0.20422535211267612</v>
      </c>
      <c r="K154" s="395">
        <f t="shared" si="8"/>
        <v>71</v>
      </c>
      <c r="L154" s="394">
        <f>('SITE DATA'!$F$28-(0.2*G154))^2/('SITE DATA'!$F$28+(0.8*G154))</f>
        <v>0.20422535211267612</v>
      </c>
      <c r="M154" s="395">
        <f t="shared" si="9"/>
        <v>71</v>
      </c>
    </row>
    <row r="155" spans="2:13" ht="24" hidden="1" thickBot="1" x14ac:dyDescent="0.4">
      <c r="B155" s="540"/>
      <c r="C155" s="534" t="s">
        <v>549</v>
      </c>
      <c r="D155" s="535" t="e">
        <f>3630*1*D154*SUM(F17:G25)</f>
        <v>#DIV/0!</v>
      </c>
      <c r="E155" s="615" t="e">
        <f>D155</f>
        <v>#DIV/0!</v>
      </c>
      <c r="F155" s="507"/>
      <c r="G155" s="393">
        <f t="shared" si="6"/>
        <v>3.8888888888888893</v>
      </c>
      <c r="H155" s="394">
        <f>('SITE DATA'!$F$26-(0.2*G155))^2/('SITE DATA'!$F$26+(0.8*G155))</f>
        <v>0.1944444444444445</v>
      </c>
      <c r="I155" s="395">
        <f t="shared" si="7"/>
        <v>72</v>
      </c>
      <c r="J155" s="394">
        <f>('SITE DATA'!$F$27-(0.2*G155))^2/('SITE DATA'!$F$27+(0.8*G155))</f>
        <v>0.1944444444444445</v>
      </c>
      <c r="K155" s="395">
        <f t="shared" si="8"/>
        <v>72</v>
      </c>
      <c r="L155" s="394">
        <f>('SITE DATA'!$F$28-(0.2*G155))^2/('SITE DATA'!$F$28+(0.8*G155))</f>
        <v>0.1944444444444445</v>
      </c>
      <c r="M155" s="395">
        <f t="shared" si="9"/>
        <v>72</v>
      </c>
    </row>
    <row r="156" spans="2:13" ht="15.75" hidden="1" thickBot="1" x14ac:dyDescent="0.25">
      <c r="B156" s="541"/>
      <c r="C156" s="537"/>
      <c r="D156" s="531"/>
      <c r="E156" s="507"/>
      <c r="F156" s="507"/>
      <c r="G156" s="393">
        <f t="shared" si="6"/>
        <v>3.6986301369863011</v>
      </c>
      <c r="H156" s="394">
        <f>('SITE DATA'!$F$26-(0.2*G156))^2/('SITE DATA'!$F$26+(0.8*G156))</f>
        <v>0.18493150684931509</v>
      </c>
      <c r="I156" s="395">
        <f t="shared" si="7"/>
        <v>73</v>
      </c>
      <c r="J156" s="394">
        <f>('SITE DATA'!$F$27-(0.2*G156))^2/('SITE DATA'!$F$27+(0.8*G156))</f>
        <v>0.18493150684931509</v>
      </c>
      <c r="K156" s="395">
        <f t="shared" si="8"/>
        <v>73</v>
      </c>
      <c r="L156" s="394">
        <f>('SITE DATA'!$F$28-(0.2*G156))^2/('SITE DATA'!$F$28+(0.8*G156))</f>
        <v>0.18493150684931509</v>
      </c>
      <c r="M156" s="395">
        <f t="shared" si="9"/>
        <v>73</v>
      </c>
    </row>
    <row r="157" spans="2:13" hidden="1" x14ac:dyDescent="0.2">
      <c r="B157" s="538"/>
      <c r="C157" s="511" t="s">
        <v>543</v>
      </c>
      <c r="D157" s="613" t="e">
        <f>(SUM(H25:I25))/SUM(D17:M25)</f>
        <v>#DIV/0!</v>
      </c>
      <c r="E157" s="507"/>
      <c r="F157" s="507"/>
      <c r="G157" s="393">
        <f t="shared" si="6"/>
        <v>3.513513513513514</v>
      </c>
      <c r="H157" s="394">
        <f>('SITE DATA'!$F$26-(0.2*G157))^2/('SITE DATA'!$F$26+(0.8*G157))</f>
        <v>0.17567567567567571</v>
      </c>
      <c r="I157" s="395">
        <f t="shared" si="7"/>
        <v>74</v>
      </c>
      <c r="J157" s="394">
        <f>('SITE DATA'!$F$27-(0.2*G157))^2/('SITE DATA'!$F$27+(0.8*G157))</f>
        <v>0.17567567567567571</v>
      </c>
      <c r="K157" s="395">
        <f t="shared" si="8"/>
        <v>74</v>
      </c>
      <c r="L157" s="394">
        <f>('SITE DATA'!$F$28-(0.2*G157))^2/('SITE DATA'!$F$28+(0.8*G157))</f>
        <v>0.17567567567567571</v>
      </c>
      <c r="M157" s="395">
        <f t="shared" si="9"/>
        <v>74</v>
      </c>
    </row>
    <row r="158" spans="2:13" ht="24" hidden="1" thickBot="1" x14ac:dyDescent="0.4">
      <c r="B158" s="540" t="s">
        <v>571</v>
      </c>
      <c r="C158" s="511" t="s">
        <v>547</v>
      </c>
      <c r="D158" s="539" t="e">
        <f>0.05+(0.9*D157)</f>
        <v>#DIV/0!</v>
      </c>
      <c r="E158" s="507"/>
      <c r="F158" s="507"/>
      <c r="G158" s="393">
        <f t="shared" si="6"/>
        <v>3.3333333333333339</v>
      </c>
      <c r="H158" s="394">
        <f>('SITE DATA'!$F$26-(0.2*G158))^2/('SITE DATA'!$F$26+(0.8*G158))</f>
        <v>0.16666666666666671</v>
      </c>
      <c r="I158" s="395">
        <f t="shared" si="7"/>
        <v>75</v>
      </c>
      <c r="J158" s="394">
        <f>('SITE DATA'!$F$27-(0.2*G158))^2/('SITE DATA'!$F$27+(0.8*G158))</f>
        <v>0.16666666666666671</v>
      </c>
      <c r="K158" s="395">
        <f t="shared" si="8"/>
        <v>75</v>
      </c>
      <c r="L158" s="394">
        <f>('SITE DATA'!$F$28-(0.2*G158))^2/('SITE DATA'!$F$28+(0.8*G158))</f>
        <v>0.16666666666666671</v>
      </c>
      <c r="M158" s="395">
        <f t="shared" si="9"/>
        <v>75</v>
      </c>
    </row>
    <row r="159" spans="2:13" ht="24" hidden="1" thickBot="1" x14ac:dyDescent="0.4">
      <c r="B159" s="540"/>
      <c r="C159" s="534" t="s">
        <v>549</v>
      </c>
      <c r="D159" s="535" t="e">
        <f>3630*1*D158*SUM(H17:I25)</f>
        <v>#DIV/0!</v>
      </c>
      <c r="E159" s="615" t="e">
        <f>D159</f>
        <v>#DIV/0!</v>
      </c>
      <c r="F159" s="507"/>
      <c r="G159" s="393">
        <f t="shared" si="6"/>
        <v>3.1578947368421044</v>
      </c>
      <c r="H159" s="394">
        <f>('SITE DATA'!$F$26-(0.2*G159))^2/('SITE DATA'!$F$26+(0.8*G159))</f>
        <v>0.15789473684210523</v>
      </c>
      <c r="I159" s="586">
        <f t="shared" si="7"/>
        <v>76</v>
      </c>
      <c r="J159" s="394">
        <f>('SITE DATA'!$F$27-(0.2*G159))^2/('SITE DATA'!$F$27+(0.8*G159))</f>
        <v>0.15789473684210523</v>
      </c>
      <c r="K159" s="586">
        <f t="shared" si="8"/>
        <v>76</v>
      </c>
      <c r="L159" s="394">
        <f>('SITE DATA'!$F$28-(0.2*G159))^2/('SITE DATA'!$F$28+(0.8*G159))</f>
        <v>0.15789473684210523</v>
      </c>
      <c r="M159" s="586">
        <f t="shared" si="9"/>
        <v>76</v>
      </c>
    </row>
    <row r="160" spans="2:13" ht="15.75" hidden="1" thickBot="1" x14ac:dyDescent="0.25">
      <c r="B160" s="541"/>
      <c r="C160" s="537"/>
      <c r="D160" s="531"/>
      <c r="E160" s="507"/>
      <c r="F160" s="507"/>
      <c r="G160" s="393">
        <f t="shared" si="6"/>
        <v>2.9870129870129869</v>
      </c>
      <c r="H160" s="394">
        <f>('SITE DATA'!$F$26-(0.2*G160))^2/('SITE DATA'!$F$26+(0.8*G160))</f>
        <v>0.14935064935064934</v>
      </c>
      <c r="I160" s="586">
        <f t="shared" si="7"/>
        <v>77</v>
      </c>
      <c r="J160" s="394">
        <f>('SITE DATA'!$F$27-(0.2*G160))^2/('SITE DATA'!$F$27+(0.8*G160))</f>
        <v>0.14935064935064934</v>
      </c>
      <c r="K160" s="586">
        <f t="shared" si="8"/>
        <v>77</v>
      </c>
      <c r="L160" s="394">
        <f>('SITE DATA'!$F$28-(0.2*G160))^2/('SITE DATA'!$F$28+(0.8*G160))</f>
        <v>0.14935064935064934</v>
      </c>
      <c r="M160" s="586">
        <f t="shared" si="9"/>
        <v>77</v>
      </c>
    </row>
    <row r="161" spans="2:13" hidden="1" x14ac:dyDescent="0.2">
      <c r="B161" s="538"/>
      <c r="C161" s="511" t="s">
        <v>543</v>
      </c>
      <c r="D161" s="613" t="e">
        <f>(SUM(J25:K25))/SUM(D17:M25)</f>
        <v>#DIV/0!</v>
      </c>
      <c r="E161" s="507"/>
      <c r="F161" s="507"/>
      <c r="G161" s="393">
        <f t="shared" si="6"/>
        <v>2.8205128205128212</v>
      </c>
      <c r="H161" s="394">
        <f>('SITE DATA'!$F$26-(0.2*G161))^2/('SITE DATA'!$F$26+(0.8*G161))</f>
        <v>0.14102564102564105</v>
      </c>
      <c r="I161" s="586">
        <f t="shared" si="7"/>
        <v>78</v>
      </c>
      <c r="J161" s="394">
        <f>('SITE DATA'!$F$27-(0.2*G161))^2/('SITE DATA'!$F$27+(0.8*G161))</f>
        <v>0.14102564102564105</v>
      </c>
      <c r="K161" s="586">
        <f t="shared" si="8"/>
        <v>78</v>
      </c>
      <c r="L161" s="394">
        <f>('SITE DATA'!$F$28-(0.2*G161))^2/('SITE DATA'!$F$28+(0.8*G161))</f>
        <v>0.14102564102564105</v>
      </c>
      <c r="M161" s="586">
        <f t="shared" si="9"/>
        <v>78</v>
      </c>
    </row>
    <row r="162" spans="2:13" ht="24" hidden="1" thickBot="1" x14ac:dyDescent="0.4">
      <c r="B162" s="540" t="s">
        <v>572</v>
      </c>
      <c r="C162" s="511" t="s">
        <v>547</v>
      </c>
      <c r="D162" s="539" t="e">
        <f>0.05+(0.9*D161)</f>
        <v>#DIV/0!</v>
      </c>
      <c r="E162" s="507"/>
      <c r="F162" s="507"/>
      <c r="G162" s="393">
        <f t="shared" si="6"/>
        <v>2.6582278481012658</v>
      </c>
      <c r="H162" s="394">
        <f>('SITE DATA'!$F$26-(0.2*G162))^2/('SITE DATA'!$F$26+(0.8*G162))</f>
        <v>0.13291139240506331</v>
      </c>
      <c r="I162" s="586">
        <f t="shared" si="7"/>
        <v>79</v>
      </c>
      <c r="J162" s="394">
        <f>('SITE DATA'!$F$27-(0.2*G162))^2/('SITE DATA'!$F$27+(0.8*G162))</f>
        <v>0.13291139240506331</v>
      </c>
      <c r="K162" s="586">
        <f t="shared" si="8"/>
        <v>79</v>
      </c>
      <c r="L162" s="394">
        <f>('SITE DATA'!$F$28-(0.2*G162))^2/('SITE DATA'!$F$28+(0.8*G162))</f>
        <v>0.13291139240506331</v>
      </c>
      <c r="M162" s="586">
        <f t="shared" si="9"/>
        <v>79</v>
      </c>
    </row>
    <row r="163" spans="2:13" ht="24" hidden="1" thickBot="1" x14ac:dyDescent="0.4">
      <c r="B163" s="540"/>
      <c r="C163" s="534" t="s">
        <v>549</v>
      </c>
      <c r="D163" s="535" t="e">
        <f>3630*1*D162*SUM(J17:K25)</f>
        <v>#DIV/0!</v>
      </c>
      <c r="E163" s="615" t="e">
        <f>D163</f>
        <v>#DIV/0!</v>
      </c>
      <c r="F163" s="507"/>
      <c r="G163" s="393">
        <f t="shared" si="6"/>
        <v>2.5</v>
      </c>
      <c r="H163" s="394">
        <f>('SITE DATA'!$F$26-(0.2*G163))^2/('SITE DATA'!$F$26+(0.8*G163))</f>
        <v>0.125</v>
      </c>
      <c r="I163" s="586">
        <f t="shared" si="7"/>
        <v>80</v>
      </c>
      <c r="J163" s="394">
        <f>('SITE DATA'!$F$27-(0.2*G163))^2/('SITE DATA'!$F$27+(0.8*G163))</f>
        <v>0.125</v>
      </c>
      <c r="K163" s="586">
        <f t="shared" si="8"/>
        <v>80</v>
      </c>
      <c r="L163" s="394">
        <f>('SITE DATA'!$F$28-(0.2*G163))^2/('SITE DATA'!$F$28+(0.8*G163))</f>
        <v>0.125</v>
      </c>
      <c r="M163" s="586">
        <f t="shared" si="9"/>
        <v>80</v>
      </c>
    </row>
    <row r="164" spans="2:13" ht="15.75" hidden="1" thickBot="1" x14ac:dyDescent="0.25">
      <c r="B164" s="541"/>
      <c r="C164" s="537"/>
      <c r="D164" s="531"/>
      <c r="E164" s="507"/>
      <c r="F164" s="507"/>
      <c r="G164" s="393">
        <f t="shared" si="6"/>
        <v>2.3456790123456788</v>
      </c>
      <c r="H164" s="394">
        <f>('SITE DATA'!$F$26-(0.2*G164))^2/('SITE DATA'!$F$26+(0.8*G164))</f>
        <v>0.11728395061728394</v>
      </c>
      <c r="I164" s="586">
        <f t="shared" si="7"/>
        <v>81</v>
      </c>
      <c r="J164" s="394">
        <f>('SITE DATA'!$F$27-(0.2*G164))^2/('SITE DATA'!$F$27+(0.8*G164))</f>
        <v>0.11728395061728394</v>
      </c>
      <c r="K164" s="586">
        <f t="shared" si="8"/>
        <v>81</v>
      </c>
      <c r="L164" s="394">
        <f>('SITE DATA'!$F$28-(0.2*G164))^2/('SITE DATA'!$F$28+(0.8*G164))</f>
        <v>0.11728395061728394</v>
      </c>
      <c r="M164" s="586">
        <f t="shared" si="9"/>
        <v>81</v>
      </c>
    </row>
    <row r="165" spans="2:13" hidden="1" x14ac:dyDescent="0.2">
      <c r="B165" s="538"/>
      <c r="C165" s="511" t="s">
        <v>543</v>
      </c>
      <c r="D165" s="613" t="e">
        <f>(SUM(L25:M25))/SUM(D17:M25)</f>
        <v>#DIV/0!</v>
      </c>
      <c r="E165" s="507"/>
      <c r="F165" s="507"/>
      <c r="G165" s="393">
        <f t="shared" si="6"/>
        <v>2.1951219512195124</v>
      </c>
      <c r="H165" s="394">
        <f>('SITE DATA'!$F$26-(0.2*G165))^2/('SITE DATA'!$F$26+(0.8*G165))</f>
        <v>0.10975609756097562</v>
      </c>
      <c r="I165" s="586">
        <f t="shared" si="7"/>
        <v>82</v>
      </c>
      <c r="J165" s="394">
        <f>('SITE DATA'!$F$27-(0.2*G165))^2/('SITE DATA'!$F$27+(0.8*G165))</f>
        <v>0.10975609756097562</v>
      </c>
      <c r="K165" s="586">
        <f t="shared" si="8"/>
        <v>82</v>
      </c>
      <c r="L165" s="394">
        <f>('SITE DATA'!$F$28-(0.2*G165))^2/('SITE DATA'!$F$28+(0.8*G165))</f>
        <v>0.10975609756097562</v>
      </c>
      <c r="M165" s="586">
        <f t="shared" si="9"/>
        <v>82</v>
      </c>
    </row>
    <row r="166" spans="2:13" ht="24" hidden="1" thickBot="1" x14ac:dyDescent="0.4">
      <c r="B166" s="540" t="s">
        <v>573</v>
      </c>
      <c r="C166" s="511" t="s">
        <v>547</v>
      </c>
      <c r="D166" s="539" t="e">
        <f>0.05+(0.9*D165)</f>
        <v>#DIV/0!</v>
      </c>
      <c r="E166" s="507"/>
      <c r="F166" s="507"/>
      <c r="G166" s="393">
        <f t="shared" si="6"/>
        <v>2.0481927710843379</v>
      </c>
      <c r="H166" s="394">
        <f>('SITE DATA'!$F$26-(0.2*G166))^2/('SITE DATA'!$F$26+(0.8*G166))</f>
        <v>0.10240963855421689</v>
      </c>
      <c r="I166" s="586">
        <f t="shared" si="7"/>
        <v>83</v>
      </c>
      <c r="J166" s="394">
        <f>('SITE DATA'!$F$27-(0.2*G166))^2/('SITE DATA'!$F$27+(0.8*G166))</f>
        <v>0.10240963855421689</v>
      </c>
      <c r="K166" s="586">
        <f t="shared" si="8"/>
        <v>83</v>
      </c>
      <c r="L166" s="394">
        <f>('SITE DATA'!$F$28-(0.2*G166))^2/('SITE DATA'!$F$28+(0.8*G166))</f>
        <v>0.10240963855421689</v>
      </c>
      <c r="M166" s="586">
        <f t="shared" si="9"/>
        <v>83</v>
      </c>
    </row>
    <row r="167" spans="2:13" ht="24" hidden="1" thickBot="1" x14ac:dyDescent="0.4">
      <c r="B167" s="540"/>
      <c r="C167" s="534" t="s">
        <v>549</v>
      </c>
      <c r="D167" s="535" t="e">
        <f>3630*1*D166*SUM(L17:M25)</f>
        <v>#DIV/0!</v>
      </c>
      <c r="E167" s="615" t="e">
        <f>D167</f>
        <v>#DIV/0!</v>
      </c>
      <c r="F167" s="507"/>
      <c r="G167" s="393">
        <f t="shared" si="6"/>
        <v>1.9047619047619051</v>
      </c>
      <c r="H167" s="394">
        <f>('SITE DATA'!$F$26-(0.2*G167))^2/('SITE DATA'!$F$26+(0.8*G167))</f>
        <v>9.5238095238095261E-2</v>
      </c>
      <c r="I167" s="586">
        <f t="shared" si="7"/>
        <v>84</v>
      </c>
      <c r="J167" s="394">
        <f>('SITE DATA'!$F$27-(0.2*G167))^2/('SITE DATA'!$F$27+(0.8*G167))</f>
        <v>9.5238095238095261E-2</v>
      </c>
      <c r="K167" s="586">
        <f t="shared" si="8"/>
        <v>84</v>
      </c>
      <c r="L167" s="394">
        <f>('SITE DATA'!$F$28-(0.2*G167))^2/('SITE DATA'!$F$28+(0.8*G167))</f>
        <v>9.5238095238095261E-2</v>
      </c>
      <c r="M167" s="586">
        <f t="shared" si="9"/>
        <v>84</v>
      </c>
    </row>
    <row r="168" spans="2:13" ht="15.75" hidden="1" thickBot="1" x14ac:dyDescent="0.25">
      <c r="B168" s="541"/>
      <c r="C168" s="537"/>
      <c r="D168" s="531"/>
      <c r="E168" s="507"/>
      <c r="F168" s="507"/>
      <c r="G168" s="393">
        <f t="shared" si="6"/>
        <v>1.764705882352942</v>
      </c>
      <c r="H168" s="394">
        <f>('SITE DATA'!$F$26-(0.2*G168))^2/('SITE DATA'!$F$26+(0.8*G168))</f>
        <v>8.8235294117647106E-2</v>
      </c>
      <c r="I168" s="586">
        <f t="shared" si="7"/>
        <v>85</v>
      </c>
      <c r="J168" s="394">
        <f>('SITE DATA'!$F$27-(0.2*G168))^2/('SITE DATA'!$F$27+(0.8*G168))</f>
        <v>8.8235294117647106E-2</v>
      </c>
      <c r="K168" s="586">
        <f t="shared" si="8"/>
        <v>85</v>
      </c>
      <c r="L168" s="394">
        <f>('SITE DATA'!$F$28-(0.2*G168))^2/('SITE DATA'!$F$28+(0.8*G168))</f>
        <v>8.8235294117647106E-2</v>
      </c>
      <c r="M168" s="586">
        <f t="shared" si="9"/>
        <v>85</v>
      </c>
    </row>
    <row r="169" spans="2:13" hidden="1" x14ac:dyDescent="0.2">
      <c r="B169" s="397"/>
      <c r="C169" s="507"/>
      <c r="D169" s="507"/>
      <c r="E169" s="507"/>
      <c r="F169" s="160"/>
      <c r="G169" s="393">
        <f t="shared" si="6"/>
        <v>1.6279069767441854</v>
      </c>
      <c r="H169" s="394">
        <f>('SITE DATA'!$F$26-(0.2*G169))^2/('SITE DATA'!$F$26+(0.8*G169))</f>
        <v>8.139534883720928E-2</v>
      </c>
      <c r="I169" s="586">
        <f t="shared" si="7"/>
        <v>86</v>
      </c>
      <c r="J169" s="394">
        <f>('SITE DATA'!$F$27-(0.2*G169))^2/('SITE DATA'!$F$27+(0.8*G169))</f>
        <v>8.139534883720928E-2</v>
      </c>
      <c r="K169" s="586">
        <f t="shared" si="8"/>
        <v>86</v>
      </c>
      <c r="L169" s="394">
        <f>('SITE DATA'!$F$28-(0.2*G169))^2/('SITE DATA'!$F$28+(0.8*G169))</f>
        <v>8.139534883720928E-2</v>
      </c>
      <c r="M169" s="586">
        <f t="shared" si="9"/>
        <v>86</v>
      </c>
    </row>
    <row r="170" spans="2:13" hidden="1" x14ac:dyDescent="0.2">
      <c r="B170" s="397"/>
      <c r="C170" s="507"/>
      <c r="D170" s="507"/>
      <c r="E170" s="507"/>
      <c r="F170" s="507"/>
      <c r="G170" s="393">
        <f t="shared" si="6"/>
        <v>1.4942528735632177</v>
      </c>
      <c r="H170" s="394">
        <f>('SITE DATA'!$F$26-(0.2*G170))^2/('SITE DATA'!$F$26+(0.8*G170))</f>
        <v>7.4712643678160884E-2</v>
      </c>
      <c r="I170" s="586">
        <f t="shared" si="7"/>
        <v>87</v>
      </c>
      <c r="J170" s="394">
        <f>('SITE DATA'!$F$27-(0.2*G170))^2/('SITE DATA'!$F$27+(0.8*G170))</f>
        <v>7.4712643678160884E-2</v>
      </c>
      <c r="K170" s="586">
        <f t="shared" si="8"/>
        <v>87</v>
      </c>
      <c r="L170" s="394">
        <f>('SITE DATA'!$F$28-(0.2*G170))^2/('SITE DATA'!$F$28+(0.8*G170))</f>
        <v>7.4712643678160884E-2</v>
      </c>
      <c r="M170" s="586">
        <f t="shared" si="9"/>
        <v>87</v>
      </c>
    </row>
    <row r="171" spans="2:13" hidden="1" x14ac:dyDescent="0.2">
      <c r="B171" s="397"/>
      <c r="C171" s="507"/>
      <c r="D171" s="507"/>
      <c r="E171" s="507"/>
      <c r="F171" s="507"/>
      <c r="G171" s="393">
        <f t="shared" si="6"/>
        <v>1.3636363636363633</v>
      </c>
      <c r="H171" s="394">
        <f>('SITE DATA'!$F$26-(0.2*G171))^2/('SITE DATA'!$F$26+(0.8*G171))</f>
        <v>6.8181818181818163E-2</v>
      </c>
      <c r="I171" s="586">
        <f t="shared" si="7"/>
        <v>88</v>
      </c>
      <c r="J171" s="394">
        <f>('SITE DATA'!$F$27-(0.2*G171))^2/('SITE DATA'!$F$27+(0.8*G171))</f>
        <v>6.8181818181818163E-2</v>
      </c>
      <c r="K171" s="586">
        <f t="shared" si="8"/>
        <v>88</v>
      </c>
      <c r="L171" s="394">
        <f>('SITE DATA'!$F$28-(0.2*G171))^2/('SITE DATA'!$F$28+(0.8*G171))</f>
        <v>6.8181818181818163E-2</v>
      </c>
      <c r="M171" s="586">
        <f t="shared" si="9"/>
        <v>88</v>
      </c>
    </row>
    <row r="172" spans="2:13" hidden="1" x14ac:dyDescent="0.2">
      <c r="B172" s="397"/>
      <c r="C172" s="507"/>
      <c r="D172" s="507"/>
      <c r="E172" s="507"/>
      <c r="F172" s="507"/>
      <c r="G172" s="393">
        <f t="shared" si="6"/>
        <v>1.2359550561797761</v>
      </c>
      <c r="H172" s="394">
        <f>('SITE DATA'!$F$26-(0.2*G172))^2/('SITE DATA'!$F$26+(0.8*G172))</f>
        <v>6.1797752808988804E-2</v>
      </c>
      <c r="I172" s="586">
        <f t="shared" si="7"/>
        <v>89</v>
      </c>
      <c r="J172" s="394">
        <f>('SITE DATA'!$F$27-(0.2*G172))^2/('SITE DATA'!$F$27+(0.8*G172))</f>
        <v>6.1797752808988804E-2</v>
      </c>
      <c r="K172" s="586">
        <f t="shared" si="8"/>
        <v>89</v>
      </c>
      <c r="L172" s="394">
        <f>('SITE DATA'!$F$28-(0.2*G172))^2/('SITE DATA'!$F$28+(0.8*G172))</f>
        <v>6.1797752808988804E-2</v>
      </c>
      <c r="M172" s="586">
        <f t="shared" si="9"/>
        <v>89</v>
      </c>
    </row>
    <row r="173" spans="2:13" hidden="1" x14ac:dyDescent="0.2">
      <c r="B173" s="397"/>
      <c r="C173" s="507"/>
      <c r="D173" s="507"/>
      <c r="E173" s="507"/>
      <c r="F173" s="507"/>
      <c r="G173" s="393">
        <f t="shared" si="6"/>
        <v>1.1111111111111107</v>
      </c>
      <c r="H173" s="394">
        <f>('SITE DATA'!$F$26-(0.2*G173))^2/('SITE DATA'!$F$26+(0.8*G173))</f>
        <v>5.5555555555555539E-2</v>
      </c>
      <c r="I173" s="586">
        <f t="shared" si="7"/>
        <v>90</v>
      </c>
      <c r="J173" s="394">
        <f>('SITE DATA'!$F$27-(0.2*G173))^2/('SITE DATA'!$F$27+(0.8*G173))</f>
        <v>5.5555555555555539E-2</v>
      </c>
      <c r="K173" s="586">
        <f t="shared" si="8"/>
        <v>90</v>
      </c>
      <c r="L173" s="394">
        <f>('SITE DATA'!$F$28-(0.2*G173))^2/('SITE DATA'!$F$28+(0.8*G173))</f>
        <v>5.5555555555555539E-2</v>
      </c>
      <c r="M173" s="586">
        <f t="shared" si="9"/>
        <v>90</v>
      </c>
    </row>
    <row r="174" spans="2:13" hidden="1" x14ac:dyDescent="0.2">
      <c r="B174" s="397"/>
      <c r="C174" s="507"/>
      <c r="D174" s="507"/>
      <c r="E174" s="507"/>
      <c r="F174" s="507"/>
      <c r="G174" s="393">
        <f t="shared" si="6"/>
        <v>0.98901098901098905</v>
      </c>
      <c r="H174" s="394">
        <f>('SITE DATA'!$F$26-(0.2*G174))^2/('SITE DATA'!$F$26+(0.8*G174))</f>
        <v>4.9450549450549455E-2</v>
      </c>
      <c r="I174" s="586">
        <f t="shared" si="7"/>
        <v>91</v>
      </c>
      <c r="J174" s="394">
        <f>('SITE DATA'!$F$27-(0.2*G174))^2/('SITE DATA'!$F$27+(0.8*G174))</f>
        <v>4.9450549450549455E-2</v>
      </c>
      <c r="K174" s="586">
        <f t="shared" si="8"/>
        <v>91</v>
      </c>
      <c r="L174" s="394">
        <f>('SITE DATA'!$F$28-(0.2*G174))^2/('SITE DATA'!$F$28+(0.8*G174))</f>
        <v>4.9450549450549455E-2</v>
      </c>
      <c r="M174" s="586">
        <f t="shared" si="9"/>
        <v>91</v>
      </c>
    </row>
    <row r="175" spans="2:13" hidden="1" x14ac:dyDescent="0.2">
      <c r="B175" s="397"/>
      <c r="C175" s="507"/>
      <c r="D175" s="507"/>
      <c r="E175" s="507"/>
      <c r="F175" s="507"/>
      <c r="G175" s="393">
        <f t="shared" si="6"/>
        <v>0.86956521739130466</v>
      </c>
      <c r="H175" s="394">
        <f>('SITE DATA'!$F$26-(0.2*G175))^2/('SITE DATA'!$F$26+(0.8*G175))</f>
        <v>4.3478260869565237E-2</v>
      </c>
      <c r="I175" s="586">
        <f t="shared" si="7"/>
        <v>92</v>
      </c>
      <c r="J175" s="394">
        <f>('SITE DATA'!$F$27-(0.2*G175))^2/('SITE DATA'!$F$27+(0.8*G175))</f>
        <v>4.3478260869565237E-2</v>
      </c>
      <c r="K175" s="586">
        <f t="shared" si="8"/>
        <v>92</v>
      </c>
      <c r="L175" s="394">
        <f>('SITE DATA'!$F$28-(0.2*G175))^2/('SITE DATA'!$F$28+(0.8*G175))</f>
        <v>4.3478260869565237E-2</v>
      </c>
      <c r="M175" s="586">
        <f t="shared" si="9"/>
        <v>92</v>
      </c>
    </row>
    <row r="176" spans="2:13" hidden="1" x14ac:dyDescent="0.2">
      <c r="B176" s="397"/>
      <c r="C176" s="507"/>
      <c r="D176" s="507"/>
      <c r="E176" s="507"/>
      <c r="F176" s="507"/>
      <c r="G176" s="393">
        <f t="shared" si="6"/>
        <v>0.75268817204301008</v>
      </c>
      <c r="H176" s="394">
        <f>('SITE DATA'!$F$26-(0.2*G176))^2/('SITE DATA'!$F$26+(0.8*G176))</f>
        <v>3.7634408602150504E-2</v>
      </c>
      <c r="I176" s="586">
        <f t="shared" si="7"/>
        <v>93</v>
      </c>
      <c r="J176" s="394">
        <f>('SITE DATA'!$F$27-(0.2*G176))^2/('SITE DATA'!$F$27+(0.8*G176))</f>
        <v>3.7634408602150504E-2</v>
      </c>
      <c r="K176" s="586">
        <f t="shared" si="8"/>
        <v>93</v>
      </c>
      <c r="L176" s="394">
        <f>('SITE DATA'!$F$28-(0.2*G176))^2/('SITE DATA'!$F$28+(0.8*G176))</f>
        <v>3.7634408602150504E-2</v>
      </c>
      <c r="M176" s="586">
        <f t="shared" si="9"/>
        <v>93</v>
      </c>
    </row>
    <row r="177" spans="2:14" hidden="1" x14ac:dyDescent="0.2">
      <c r="B177" s="397"/>
      <c r="C177" s="507"/>
      <c r="D177" s="507"/>
      <c r="E177" s="507"/>
      <c r="F177" s="507"/>
      <c r="G177" s="393">
        <f t="shared" si="6"/>
        <v>0.63829787234042534</v>
      </c>
      <c r="H177" s="394">
        <f>('SITE DATA'!$F$26-(0.2*G177))^2/('SITE DATA'!$F$26+(0.8*G177))</f>
        <v>3.1914893617021267E-2</v>
      </c>
      <c r="I177" s="586">
        <f t="shared" si="7"/>
        <v>94</v>
      </c>
      <c r="J177" s="394">
        <f>('SITE DATA'!$F$27-(0.2*G177))^2/('SITE DATA'!$F$27+(0.8*G177))</f>
        <v>3.1914893617021267E-2</v>
      </c>
      <c r="K177" s="586">
        <f t="shared" si="8"/>
        <v>94</v>
      </c>
      <c r="L177" s="394">
        <f>('SITE DATA'!$F$28-(0.2*G177))^2/('SITE DATA'!$F$28+(0.8*G177))</f>
        <v>3.1914893617021267E-2</v>
      </c>
      <c r="M177" s="586">
        <f t="shared" si="9"/>
        <v>94</v>
      </c>
    </row>
    <row r="178" spans="2:14" hidden="1" x14ac:dyDescent="0.2">
      <c r="B178" s="397"/>
      <c r="C178" s="507"/>
      <c r="D178" s="507"/>
      <c r="E178" s="507"/>
      <c r="F178" s="507"/>
      <c r="G178" s="393">
        <f t="shared" si="6"/>
        <v>0.52631578947368496</v>
      </c>
      <c r="H178" s="394">
        <f>('SITE DATA'!$F$26-(0.2*G178))^2/('SITE DATA'!$F$26+(0.8*G178))</f>
        <v>2.6315789473684247E-2</v>
      </c>
      <c r="I178" s="586">
        <f t="shared" si="7"/>
        <v>95</v>
      </c>
      <c r="J178" s="394">
        <f>('SITE DATA'!$F$27-(0.2*G178))^2/('SITE DATA'!$F$27+(0.8*G178))</f>
        <v>2.6315789473684247E-2</v>
      </c>
      <c r="K178" s="586">
        <f t="shared" si="8"/>
        <v>95</v>
      </c>
      <c r="L178" s="394">
        <f>('SITE DATA'!$F$28-(0.2*G178))^2/('SITE DATA'!$F$28+(0.8*G178))</f>
        <v>2.6315789473684247E-2</v>
      </c>
      <c r="M178" s="586">
        <f t="shared" si="9"/>
        <v>95</v>
      </c>
    </row>
    <row r="179" spans="2:14" hidden="1" x14ac:dyDescent="0.2">
      <c r="B179" s="397"/>
      <c r="C179" s="507"/>
      <c r="D179" s="507"/>
      <c r="E179" s="507"/>
      <c r="F179" s="507"/>
      <c r="G179" s="393">
        <f t="shared" si="6"/>
        <v>0.41666666666666607</v>
      </c>
      <c r="H179" s="394">
        <f>('SITE DATA'!$F$26-(0.2*G179))^2/('SITE DATA'!$F$26+(0.8*G179))</f>
        <v>2.0833333333333304E-2</v>
      </c>
      <c r="I179" s="586">
        <f t="shared" si="7"/>
        <v>96</v>
      </c>
      <c r="J179" s="394">
        <f>('SITE DATA'!$F$27-(0.2*G179))^2/('SITE DATA'!$F$27+(0.8*G179))</f>
        <v>2.0833333333333304E-2</v>
      </c>
      <c r="K179" s="586">
        <f t="shared" si="8"/>
        <v>96</v>
      </c>
      <c r="L179" s="394">
        <f>('SITE DATA'!$F$28-(0.2*G179))^2/('SITE DATA'!$F$28+(0.8*G179))</f>
        <v>2.0833333333333304E-2</v>
      </c>
      <c r="M179" s="586">
        <f t="shared" si="9"/>
        <v>96</v>
      </c>
    </row>
    <row r="180" spans="2:14" hidden="1" x14ac:dyDescent="0.2">
      <c r="B180" s="397"/>
      <c r="C180" s="507"/>
      <c r="D180" s="507"/>
      <c r="E180" s="507"/>
      <c r="F180" s="507"/>
      <c r="G180" s="393">
        <f t="shared" si="6"/>
        <v>0.3092783505154646</v>
      </c>
      <c r="H180" s="394">
        <f>('SITE DATA'!$F$26-(0.2*G180))^2/('SITE DATA'!$F$26+(0.8*G180))</f>
        <v>1.5463917525773231E-2</v>
      </c>
      <c r="I180" s="586">
        <f t="shared" si="7"/>
        <v>97</v>
      </c>
      <c r="J180" s="394">
        <f>('SITE DATA'!$F$27-(0.2*G180))^2/('SITE DATA'!$F$27+(0.8*G180))</f>
        <v>1.5463917525773231E-2</v>
      </c>
      <c r="K180" s="586">
        <f t="shared" si="8"/>
        <v>97</v>
      </c>
      <c r="L180" s="394">
        <f>('SITE DATA'!$F$28-(0.2*G180))^2/('SITE DATA'!$F$28+(0.8*G180))</f>
        <v>1.5463917525773231E-2</v>
      </c>
      <c r="M180" s="586">
        <f t="shared" si="9"/>
        <v>97</v>
      </c>
    </row>
    <row r="181" spans="2:14" hidden="1" x14ac:dyDescent="0.2">
      <c r="B181" s="397"/>
      <c r="C181" s="507"/>
      <c r="D181" s="507"/>
      <c r="E181" s="507"/>
      <c r="F181" s="507"/>
      <c r="G181" s="393">
        <f t="shared" si="6"/>
        <v>0.20408163265306101</v>
      </c>
      <c r="H181" s="394">
        <f>('SITE DATA'!$F$26-(0.2*G181))^2/('SITE DATA'!$F$26+(0.8*G181))</f>
        <v>1.0204081632653052E-2</v>
      </c>
      <c r="I181" s="586">
        <f t="shared" si="7"/>
        <v>98</v>
      </c>
      <c r="J181" s="394">
        <f>('SITE DATA'!$F$27-(0.2*G181))^2/('SITE DATA'!$F$27+(0.8*G181))</f>
        <v>1.0204081632653052E-2</v>
      </c>
      <c r="K181" s="586">
        <f t="shared" si="8"/>
        <v>98</v>
      </c>
      <c r="L181" s="394">
        <f>('SITE DATA'!$F$28-(0.2*G181))^2/('SITE DATA'!$F$28+(0.8*G181))</f>
        <v>1.0204081632653052E-2</v>
      </c>
      <c r="M181" s="586">
        <f t="shared" si="9"/>
        <v>98</v>
      </c>
    </row>
    <row r="182" spans="2:14" hidden="1" x14ac:dyDescent="0.2">
      <c r="B182" s="397"/>
      <c r="C182" s="507"/>
      <c r="D182" s="507"/>
      <c r="E182" s="507"/>
      <c r="F182" s="507"/>
      <c r="G182" s="507"/>
      <c r="H182" s="507"/>
      <c r="I182" s="507"/>
      <c r="J182" s="507"/>
      <c r="K182" s="573"/>
      <c r="L182" s="507"/>
      <c r="M182" s="507"/>
      <c r="N182" s="507"/>
    </row>
    <row r="183" spans="2:14" hidden="1" x14ac:dyDescent="0.2">
      <c r="B183" s="397"/>
      <c r="C183" s="507"/>
      <c r="D183" s="507"/>
      <c r="E183" s="507"/>
      <c r="F183" s="507"/>
      <c r="G183" s="507"/>
      <c r="H183" s="507"/>
      <c r="I183" s="507"/>
      <c r="J183" s="507"/>
      <c r="K183" s="573"/>
      <c r="L183" s="507"/>
      <c r="M183" s="507"/>
      <c r="N183" s="507"/>
    </row>
    <row r="184" spans="2:14" hidden="1" x14ac:dyDescent="0.2">
      <c r="B184" s="397"/>
      <c r="C184" s="507"/>
      <c r="D184" s="507"/>
      <c r="E184" s="507"/>
      <c r="F184" s="507"/>
      <c r="G184" s="507"/>
      <c r="H184" s="507"/>
      <c r="I184" s="507"/>
      <c r="J184" s="507"/>
      <c r="K184" s="573"/>
      <c r="L184" s="507"/>
      <c r="M184" s="507"/>
      <c r="N184" s="507"/>
    </row>
    <row r="185" spans="2:14" hidden="1" x14ac:dyDescent="0.2">
      <c r="B185" s="397"/>
      <c r="C185" s="507"/>
      <c r="D185" s="507"/>
      <c r="E185" s="507"/>
      <c r="F185" s="507"/>
      <c r="G185" s="507"/>
      <c r="H185" s="507"/>
      <c r="I185" s="507"/>
      <c r="J185" s="507"/>
      <c r="K185" s="573"/>
      <c r="L185" s="507"/>
      <c r="M185" s="507"/>
      <c r="N185" s="507"/>
    </row>
    <row r="186" spans="2:14" hidden="1" x14ac:dyDescent="0.2">
      <c r="B186" s="397"/>
      <c r="C186" s="507"/>
      <c r="D186" s="507"/>
      <c r="E186" s="507"/>
      <c r="F186" s="507"/>
      <c r="G186" s="507"/>
      <c r="H186" s="507"/>
      <c r="I186" s="507"/>
      <c r="J186" s="507"/>
      <c r="K186" s="573"/>
      <c r="L186" s="507"/>
      <c r="M186" s="507"/>
      <c r="N186" s="507"/>
    </row>
    <row r="187" spans="2:14" hidden="1" x14ac:dyDescent="0.2">
      <c r="B187" s="397"/>
      <c r="C187" s="507"/>
      <c r="D187" s="507"/>
      <c r="E187" s="507"/>
      <c r="F187" s="507"/>
      <c r="G187" s="507"/>
      <c r="H187" s="507"/>
      <c r="I187" s="507"/>
      <c r="J187" s="507"/>
      <c r="K187" s="573"/>
      <c r="L187" s="507"/>
      <c r="M187" s="507"/>
      <c r="N187" s="507"/>
    </row>
    <row r="188" spans="2:14" hidden="1" x14ac:dyDescent="0.2">
      <c r="B188" s="397"/>
      <c r="C188" s="507"/>
      <c r="D188" s="507"/>
      <c r="E188" s="507"/>
      <c r="F188" s="507"/>
      <c r="G188" s="507"/>
      <c r="H188" s="507"/>
      <c r="I188" s="507"/>
      <c r="J188" s="507"/>
      <c r="K188" s="573"/>
      <c r="L188" s="507"/>
      <c r="M188" s="507"/>
      <c r="N188" s="507"/>
    </row>
    <row r="189" spans="2:14" hidden="1" x14ac:dyDescent="0.2">
      <c r="B189" s="397"/>
      <c r="C189" s="507"/>
      <c r="D189" s="507"/>
      <c r="E189" s="507"/>
      <c r="F189" s="507"/>
      <c r="G189" s="507"/>
      <c r="H189" s="507"/>
      <c r="I189" s="507"/>
      <c r="J189" s="507"/>
      <c r="K189" s="573"/>
      <c r="L189" s="507"/>
      <c r="M189" s="507"/>
      <c r="N189" s="507"/>
    </row>
    <row r="190" spans="2:14" hidden="1" x14ac:dyDescent="0.2">
      <c r="B190" s="397"/>
      <c r="C190" s="507"/>
      <c r="D190" s="507"/>
      <c r="E190" s="507"/>
      <c r="F190" s="507"/>
      <c r="G190" s="507"/>
      <c r="H190" s="507"/>
      <c r="I190" s="507"/>
      <c r="J190" s="507"/>
      <c r="K190" s="573"/>
      <c r="L190" s="507"/>
      <c r="M190" s="507"/>
      <c r="N190" s="507"/>
    </row>
    <row r="191" spans="2:14" hidden="1" x14ac:dyDescent="0.2">
      <c r="B191" s="397"/>
      <c r="C191" s="507"/>
      <c r="D191" s="507"/>
      <c r="E191" s="507"/>
      <c r="F191" s="507"/>
      <c r="G191" s="507"/>
      <c r="H191" s="507"/>
      <c r="I191" s="507"/>
      <c r="J191" s="507"/>
      <c r="K191" s="573"/>
      <c r="L191" s="507"/>
      <c r="M191" s="507"/>
      <c r="N191" s="507"/>
    </row>
    <row r="192" spans="2:14" hidden="1" x14ac:dyDescent="0.2">
      <c r="B192" s="397"/>
      <c r="C192" s="507"/>
      <c r="D192" s="507"/>
      <c r="E192" s="507"/>
      <c r="F192" s="507"/>
      <c r="G192" s="507"/>
      <c r="H192" s="507"/>
      <c r="I192" s="507"/>
      <c r="J192" s="507"/>
      <c r="K192" s="573"/>
      <c r="L192" s="507"/>
      <c r="M192" s="507"/>
      <c r="N192" s="507"/>
    </row>
    <row r="193" spans="1:27" hidden="1" x14ac:dyDescent="0.2">
      <c r="B193" s="397"/>
      <c r="C193" s="507"/>
      <c r="D193" s="507"/>
      <c r="E193" s="507"/>
      <c r="F193" s="507"/>
      <c r="G193" s="507"/>
      <c r="H193" s="507"/>
      <c r="I193" s="507"/>
      <c r="J193" s="507"/>
      <c r="K193" s="573"/>
      <c r="L193" s="507"/>
      <c r="M193" s="507"/>
      <c r="N193" s="507"/>
    </row>
    <row r="194" spans="1:27" hidden="1" x14ac:dyDescent="0.2">
      <c r="B194" s="397"/>
      <c r="C194" s="507"/>
      <c r="D194" s="507"/>
      <c r="E194" s="507"/>
      <c r="F194" s="507"/>
      <c r="G194" s="507"/>
      <c r="H194" s="507"/>
      <c r="I194" s="507"/>
      <c r="J194" s="507"/>
      <c r="K194" s="573"/>
      <c r="L194" s="507"/>
      <c r="M194" s="507"/>
      <c r="N194" s="507"/>
    </row>
    <row r="195" spans="1:27" hidden="1" x14ac:dyDescent="0.2">
      <c r="B195" s="397"/>
      <c r="C195" s="507"/>
      <c r="D195" s="507"/>
      <c r="E195" s="507"/>
      <c r="F195" s="507"/>
      <c r="G195" s="507"/>
      <c r="H195" s="507"/>
      <c r="I195" s="507"/>
      <c r="J195" s="507"/>
      <c r="K195" s="573"/>
      <c r="L195" s="507"/>
      <c r="M195" s="507"/>
      <c r="N195" s="507"/>
    </row>
    <row r="196" spans="1:27" hidden="1" x14ac:dyDescent="0.2">
      <c r="B196" s="397"/>
      <c r="C196" s="507"/>
      <c r="D196" s="507"/>
      <c r="E196" s="507"/>
      <c r="F196" s="507"/>
      <c r="G196" s="507"/>
      <c r="H196" s="507"/>
      <c r="I196" s="507"/>
      <c r="J196" s="507"/>
      <c r="K196" s="573"/>
      <c r="L196" s="507"/>
      <c r="M196" s="507"/>
      <c r="N196" s="507"/>
    </row>
    <row r="197" spans="1:27" hidden="1" x14ac:dyDescent="0.2">
      <c r="B197" s="507"/>
      <c r="C197" s="507"/>
      <c r="D197" s="507"/>
      <c r="E197" s="507"/>
      <c r="F197" s="507"/>
      <c r="G197" s="507"/>
      <c r="H197" s="507"/>
      <c r="I197" s="507"/>
      <c r="J197" s="507"/>
      <c r="K197" s="573"/>
      <c r="L197" s="507"/>
      <c r="M197" s="507"/>
      <c r="N197" s="507"/>
    </row>
    <row r="198" spans="1:27" hidden="1" x14ac:dyDescent="0.2">
      <c r="B198" s="507"/>
      <c r="C198" s="507"/>
      <c r="D198" s="507"/>
      <c r="E198" s="507"/>
      <c r="F198" s="507"/>
      <c r="G198" s="507"/>
      <c r="H198" s="507"/>
      <c r="I198" s="507"/>
      <c r="J198" s="507"/>
      <c r="K198" s="573"/>
      <c r="L198" s="507"/>
      <c r="M198" s="507"/>
      <c r="N198" s="507"/>
    </row>
    <row r="199" spans="1:27" hidden="1" x14ac:dyDescent="0.2">
      <c r="B199" s="507"/>
      <c r="C199" s="507"/>
      <c r="D199" s="507"/>
      <c r="E199" s="507"/>
      <c r="F199" s="507"/>
      <c r="G199" s="507"/>
      <c r="H199" s="507"/>
      <c r="I199" s="507"/>
      <c r="J199" s="507"/>
      <c r="K199" s="573"/>
      <c r="L199" s="507"/>
      <c r="M199" s="507"/>
      <c r="N199" s="507"/>
    </row>
    <row r="200" spans="1:27" hidden="1" x14ac:dyDescent="0.2">
      <c r="B200" s="507"/>
      <c r="C200" s="507"/>
      <c r="D200" s="507"/>
      <c r="E200" s="507"/>
      <c r="F200" s="507"/>
      <c r="G200" s="507"/>
      <c r="H200" s="507"/>
      <c r="I200" s="507"/>
      <c r="J200" s="507"/>
      <c r="K200" s="573"/>
      <c r="L200" s="507"/>
      <c r="M200" s="507"/>
      <c r="N200" s="507"/>
    </row>
    <row r="201" spans="1:27" hidden="1" x14ac:dyDescent="0.2">
      <c r="B201" s="507"/>
      <c r="C201" s="507"/>
      <c r="D201" s="507"/>
      <c r="E201" s="507"/>
      <c r="F201" s="507"/>
      <c r="G201" s="507"/>
      <c r="H201" s="507"/>
      <c r="I201" s="507"/>
      <c r="J201" s="507"/>
      <c r="K201" s="573"/>
      <c r="L201" s="507"/>
      <c r="M201" s="507"/>
      <c r="N201" s="507"/>
    </row>
    <row r="202" spans="1:27" hidden="1" x14ac:dyDescent="0.2">
      <c r="B202" s="507"/>
      <c r="C202" s="507"/>
      <c r="D202" s="507"/>
      <c r="E202" s="507"/>
      <c r="F202" s="507"/>
      <c r="G202" s="507"/>
      <c r="H202" s="507"/>
      <c r="I202" s="507"/>
      <c r="J202" s="507"/>
      <c r="K202" s="573"/>
      <c r="L202" s="507"/>
      <c r="M202" s="507"/>
      <c r="N202" s="507"/>
    </row>
    <row r="203" spans="1:27" hidden="1" x14ac:dyDescent="0.2">
      <c r="B203" s="507"/>
      <c r="C203" s="507"/>
      <c r="D203" s="507"/>
      <c r="E203" s="507"/>
      <c r="F203" s="507"/>
      <c r="G203" s="507"/>
      <c r="H203" s="507"/>
      <c r="I203" s="507"/>
      <c r="J203" s="507"/>
      <c r="K203" s="573"/>
      <c r="L203" s="507"/>
      <c r="M203" s="507"/>
      <c r="N203" s="507"/>
    </row>
    <row r="204" spans="1:27" hidden="1" x14ac:dyDescent="0.2">
      <c r="B204" s="507"/>
      <c r="C204" s="507"/>
      <c r="D204" s="507"/>
      <c r="E204" s="507"/>
      <c r="F204" s="507"/>
      <c r="G204" s="507"/>
      <c r="H204" s="507"/>
      <c r="I204" s="507"/>
      <c r="J204" s="507"/>
      <c r="K204" s="573"/>
      <c r="L204" s="507"/>
      <c r="M204" s="507"/>
      <c r="N204" s="507"/>
    </row>
    <row r="205" spans="1:27" hidden="1" x14ac:dyDescent="0.2">
      <c r="B205" s="507"/>
      <c r="C205" s="507"/>
      <c r="D205" s="507"/>
      <c r="E205" s="507"/>
      <c r="F205" s="507"/>
      <c r="G205" s="507"/>
      <c r="H205" s="507"/>
      <c r="I205" s="507"/>
      <c r="J205" s="507"/>
      <c r="K205" s="573"/>
      <c r="L205" s="507"/>
      <c r="M205" s="507"/>
      <c r="N205" s="507"/>
    </row>
    <row r="206" spans="1:27" ht="15.75" hidden="1" x14ac:dyDescent="0.2">
      <c r="B206" s="576"/>
      <c r="C206" s="576"/>
      <c r="D206" s="576"/>
      <c r="E206" s="576"/>
      <c r="F206" s="577"/>
      <c r="G206" s="577"/>
      <c r="H206" s="577"/>
      <c r="I206" s="577"/>
      <c r="J206" s="577"/>
      <c r="K206" s="577"/>
      <c r="L206" s="577"/>
      <c r="M206" s="577"/>
      <c r="N206" s="507"/>
      <c r="Z206" s="507"/>
      <c r="AA206" s="507"/>
    </row>
    <row r="207" spans="1:27" s="523" customFormat="1" x14ac:dyDescent="0.2">
      <c r="A207" s="737" t="s">
        <v>449</v>
      </c>
      <c r="B207" s="737"/>
      <c r="C207" s="737"/>
      <c r="D207" s="737"/>
      <c r="E207" s="737"/>
      <c r="F207" s="737"/>
      <c r="G207" s="737"/>
      <c r="H207" s="737"/>
      <c r="I207" s="737"/>
      <c r="J207" s="737"/>
      <c r="K207" s="737"/>
      <c r="L207" s="737"/>
      <c r="M207" s="507"/>
    </row>
    <row r="208" spans="1:27" x14ac:dyDescent="0.2">
      <c r="A208" s="737"/>
      <c r="B208" s="737"/>
      <c r="C208" s="737"/>
      <c r="D208" s="737"/>
      <c r="E208" s="737"/>
      <c r="F208" s="737"/>
      <c r="G208" s="737"/>
      <c r="H208" s="737"/>
      <c r="I208" s="737"/>
      <c r="J208" s="737"/>
      <c r="K208" s="737"/>
      <c r="L208" s="737"/>
      <c r="M208" s="507"/>
      <c r="N208" s="507"/>
      <c r="Z208" s="507"/>
    </row>
    <row r="209" spans="1:26" ht="15.75" x14ac:dyDescent="0.2">
      <c r="A209" s="738" t="s">
        <v>436</v>
      </c>
      <c r="B209" s="738"/>
      <c r="C209" s="738"/>
      <c r="D209" s="738"/>
      <c r="E209" s="738"/>
      <c r="F209" s="738"/>
      <c r="G209" s="738"/>
      <c r="H209" s="738"/>
      <c r="I209" s="738"/>
      <c r="J209" s="738"/>
      <c r="K209" s="738"/>
      <c r="L209" s="738"/>
      <c r="M209" s="507"/>
      <c r="N209" s="507"/>
      <c r="Z209" s="507"/>
    </row>
    <row r="210" spans="1:26" x14ac:dyDescent="0.2">
      <c r="A210" s="737" t="s">
        <v>450</v>
      </c>
      <c r="B210" s="737"/>
      <c r="C210" s="737"/>
      <c r="D210" s="737"/>
      <c r="E210" s="737"/>
      <c r="F210" s="737"/>
      <c r="G210" s="737"/>
      <c r="H210" s="737"/>
      <c r="I210" s="737"/>
      <c r="J210" s="737"/>
      <c r="K210" s="737"/>
      <c r="L210" s="737"/>
      <c r="M210" s="507"/>
      <c r="N210" s="507"/>
      <c r="Z210" s="507"/>
    </row>
    <row r="211" spans="1:26" x14ac:dyDescent="0.2">
      <c r="A211" s="737"/>
      <c r="B211" s="737"/>
      <c r="C211" s="737"/>
      <c r="D211" s="737"/>
      <c r="E211" s="737"/>
      <c r="F211" s="737"/>
      <c r="G211" s="737"/>
      <c r="H211" s="737"/>
      <c r="I211" s="737"/>
      <c r="J211" s="737"/>
      <c r="K211" s="737"/>
      <c r="L211" s="737"/>
      <c r="M211" s="507"/>
      <c r="N211" s="507"/>
      <c r="Z211" s="507"/>
    </row>
    <row r="212" spans="1:26" ht="15.75" x14ac:dyDescent="0.2">
      <c r="A212" s="738" t="s">
        <v>436</v>
      </c>
      <c r="B212" s="738"/>
      <c r="C212" s="738"/>
      <c r="D212" s="738"/>
      <c r="E212" s="738"/>
      <c r="F212" s="738"/>
      <c r="G212" s="738"/>
      <c r="H212" s="738"/>
      <c r="I212" s="738"/>
      <c r="J212" s="738"/>
      <c r="K212" s="738"/>
      <c r="L212" s="738"/>
      <c r="M212" s="507"/>
      <c r="N212" s="507"/>
      <c r="Z212" s="507"/>
    </row>
    <row r="213" spans="1:26" x14ac:dyDescent="0.2">
      <c r="A213" s="737" t="s">
        <v>451</v>
      </c>
      <c r="B213" s="737"/>
      <c r="C213" s="737"/>
      <c r="D213" s="737"/>
      <c r="E213" s="737"/>
      <c r="F213" s="737"/>
      <c r="G213" s="737"/>
      <c r="H213" s="737"/>
      <c r="I213" s="737"/>
      <c r="J213" s="737"/>
      <c r="K213" s="737"/>
      <c r="L213" s="737"/>
      <c r="M213" s="507"/>
      <c r="N213" s="507"/>
      <c r="Z213" s="507"/>
    </row>
    <row r="214" spans="1:26" x14ac:dyDescent="0.2">
      <c r="A214" s="737"/>
      <c r="B214" s="737"/>
      <c r="C214" s="737"/>
      <c r="D214" s="737"/>
      <c r="E214" s="737"/>
      <c r="F214" s="737"/>
      <c r="G214" s="737"/>
      <c r="H214" s="737"/>
      <c r="I214" s="737"/>
      <c r="J214" s="737"/>
      <c r="K214" s="737"/>
      <c r="L214" s="737"/>
      <c r="M214" s="507"/>
      <c r="N214" s="507"/>
      <c r="Z214" s="507"/>
    </row>
    <row r="215" spans="1:26" x14ac:dyDescent="0.2">
      <c r="B215" s="507"/>
      <c r="C215" s="507"/>
      <c r="D215" s="507"/>
      <c r="E215" s="507"/>
      <c r="F215" s="507"/>
      <c r="G215" s="507"/>
      <c r="H215" s="507"/>
      <c r="I215" s="507"/>
      <c r="J215" s="507"/>
      <c r="K215" s="573"/>
      <c r="L215" s="507"/>
      <c r="M215" s="507"/>
      <c r="N215" s="507"/>
    </row>
    <row r="216" spans="1:26" x14ac:dyDescent="0.2">
      <c r="B216" s="507"/>
      <c r="C216" s="507"/>
      <c r="D216" s="507"/>
      <c r="E216" s="507"/>
      <c r="F216" s="507"/>
      <c r="G216" s="507"/>
      <c r="H216" s="507"/>
      <c r="I216" s="507"/>
      <c r="J216" s="507"/>
      <c r="K216" s="573"/>
      <c r="L216" s="507"/>
      <c r="M216" s="507"/>
      <c r="N216" s="507"/>
    </row>
    <row r="217" spans="1:26" x14ac:dyDescent="0.2">
      <c r="B217" s="507"/>
      <c r="C217" s="507"/>
      <c r="D217" s="507"/>
      <c r="E217" s="507"/>
      <c r="F217" s="507"/>
      <c r="G217" s="507"/>
      <c r="H217" s="507"/>
      <c r="I217" s="507"/>
      <c r="J217" s="507"/>
      <c r="K217" s="573"/>
      <c r="L217" s="507"/>
      <c r="M217" s="507"/>
      <c r="N217" s="507"/>
    </row>
    <row r="218" spans="1:26" x14ac:dyDescent="0.2">
      <c r="B218" s="507"/>
      <c r="C218" s="507"/>
      <c r="D218" s="507"/>
      <c r="E218" s="507"/>
      <c r="F218" s="507"/>
      <c r="G218" s="507"/>
      <c r="H218" s="507"/>
      <c r="I218" s="507"/>
      <c r="J218" s="507"/>
      <c r="K218" s="573"/>
      <c r="L218" s="507"/>
      <c r="M218" s="507"/>
      <c r="N218" s="507"/>
    </row>
    <row r="219" spans="1:26" x14ac:dyDescent="0.2">
      <c r="B219" s="507"/>
      <c r="C219" s="507"/>
      <c r="D219" s="507"/>
      <c r="E219" s="507"/>
      <c r="F219" s="507"/>
      <c r="G219" s="507"/>
      <c r="H219" s="507"/>
      <c r="I219" s="507"/>
      <c r="J219" s="507"/>
      <c r="K219" s="573"/>
      <c r="L219" s="507"/>
      <c r="M219" s="507"/>
      <c r="N219" s="507"/>
    </row>
    <row r="220" spans="1:26" x14ac:dyDescent="0.2">
      <c r="B220" s="507"/>
      <c r="C220" s="507"/>
      <c r="D220" s="507"/>
      <c r="E220" s="507"/>
      <c r="F220" s="507"/>
      <c r="G220" s="507"/>
      <c r="H220" s="507"/>
      <c r="I220" s="507"/>
      <c r="J220" s="507"/>
      <c r="K220" s="573"/>
      <c r="L220" s="507"/>
      <c r="M220" s="507"/>
      <c r="N220" s="507"/>
    </row>
    <row r="221" spans="1:26" x14ac:dyDescent="0.2">
      <c r="B221" s="507"/>
      <c r="C221" s="507"/>
      <c r="D221" s="507"/>
      <c r="E221" s="507"/>
      <c r="F221" s="507"/>
      <c r="G221" s="507"/>
      <c r="H221" s="507"/>
      <c r="I221" s="507"/>
      <c r="J221" s="507"/>
      <c r="K221" s="573"/>
      <c r="L221" s="507"/>
      <c r="M221" s="507"/>
      <c r="N221" s="507"/>
    </row>
    <row r="222" spans="1:26" x14ac:dyDescent="0.2">
      <c r="B222" s="507"/>
      <c r="C222" s="507"/>
      <c r="D222" s="507"/>
      <c r="E222" s="507"/>
      <c r="F222" s="507"/>
      <c r="G222" s="507"/>
      <c r="H222" s="507"/>
      <c r="I222" s="507"/>
      <c r="J222" s="507"/>
      <c r="K222" s="573"/>
      <c r="L222" s="507"/>
      <c r="M222" s="507"/>
      <c r="N222" s="507"/>
    </row>
    <row r="223" spans="1:26" x14ac:dyDescent="0.2">
      <c r="B223" s="507"/>
      <c r="C223" s="507"/>
      <c r="D223" s="507"/>
      <c r="E223" s="507"/>
      <c r="F223" s="507"/>
      <c r="G223" s="507"/>
      <c r="H223" s="507"/>
      <c r="I223" s="507"/>
      <c r="J223" s="507"/>
      <c r="K223" s="573"/>
      <c r="L223" s="507"/>
      <c r="M223" s="507"/>
      <c r="N223" s="507"/>
    </row>
    <row r="224" spans="1:26" x14ac:dyDescent="0.2">
      <c r="B224" s="507"/>
      <c r="C224" s="507"/>
      <c r="D224" s="507"/>
      <c r="E224" s="507"/>
      <c r="F224" s="507"/>
      <c r="G224" s="507"/>
      <c r="H224" s="507"/>
      <c r="I224" s="507"/>
      <c r="J224" s="507"/>
      <c r="K224" s="573"/>
      <c r="L224" s="507"/>
      <c r="M224" s="507"/>
      <c r="N224" s="507"/>
    </row>
    <row r="225" spans="2:14" x14ac:dyDescent="0.2">
      <c r="B225" s="507"/>
      <c r="C225" s="507"/>
      <c r="D225" s="507"/>
      <c r="E225" s="507"/>
      <c r="F225" s="507"/>
      <c r="G225" s="507"/>
      <c r="H225" s="507"/>
      <c r="I225" s="507"/>
      <c r="J225" s="507"/>
      <c r="K225" s="573"/>
      <c r="L225" s="507"/>
      <c r="M225" s="507"/>
      <c r="N225" s="507"/>
    </row>
    <row r="226" spans="2:14" x14ac:dyDescent="0.2">
      <c r="B226" s="507"/>
      <c r="C226" s="507"/>
      <c r="D226" s="507"/>
      <c r="E226" s="507"/>
      <c r="F226" s="507"/>
      <c r="G226" s="507"/>
      <c r="H226" s="507"/>
      <c r="I226" s="507"/>
      <c r="J226" s="507"/>
      <c r="K226" s="573"/>
      <c r="L226" s="507"/>
      <c r="M226" s="507"/>
      <c r="N226" s="507"/>
    </row>
    <row r="227" spans="2:14" x14ac:dyDescent="0.2">
      <c r="B227" s="507"/>
      <c r="C227" s="507"/>
      <c r="D227" s="507"/>
      <c r="E227" s="507"/>
      <c r="F227" s="507"/>
      <c r="G227" s="507"/>
      <c r="H227" s="507"/>
      <c r="I227" s="507"/>
      <c r="J227" s="507"/>
      <c r="K227" s="573"/>
      <c r="L227" s="507"/>
      <c r="M227" s="507"/>
      <c r="N227" s="507"/>
    </row>
    <row r="228" spans="2:14" x14ac:dyDescent="0.2">
      <c r="B228" s="507"/>
      <c r="C228" s="507"/>
      <c r="D228" s="507"/>
      <c r="E228" s="507"/>
      <c r="F228" s="507"/>
      <c r="G228" s="507"/>
      <c r="H228" s="507"/>
      <c r="I228" s="507"/>
      <c r="J228" s="507"/>
      <c r="K228" s="573"/>
      <c r="L228" s="507"/>
      <c r="M228" s="507"/>
      <c r="N228" s="507"/>
    </row>
    <row r="229" spans="2:14" x14ac:dyDescent="0.2">
      <c r="B229" s="507"/>
      <c r="C229" s="507"/>
      <c r="D229" s="507"/>
      <c r="E229" s="507"/>
      <c r="F229" s="507"/>
      <c r="G229" s="507"/>
      <c r="H229" s="507"/>
      <c r="I229" s="507"/>
      <c r="J229" s="507"/>
      <c r="K229" s="573"/>
      <c r="L229" s="507"/>
      <c r="M229" s="507"/>
      <c r="N229" s="507"/>
    </row>
    <row r="230" spans="2:14" x14ac:dyDescent="0.2">
      <c r="B230" s="507"/>
      <c r="C230" s="507"/>
      <c r="D230" s="507"/>
      <c r="E230" s="507"/>
      <c r="F230" s="507"/>
      <c r="G230" s="507"/>
      <c r="H230" s="507"/>
      <c r="I230" s="507"/>
      <c r="J230" s="507"/>
      <c r="K230" s="573"/>
      <c r="L230" s="507"/>
      <c r="M230" s="507"/>
      <c r="N230" s="507"/>
    </row>
    <row r="231" spans="2:14" x14ac:dyDescent="0.2">
      <c r="B231" s="507"/>
      <c r="C231" s="507"/>
      <c r="D231" s="507"/>
      <c r="E231" s="507"/>
      <c r="F231" s="507"/>
      <c r="G231" s="507"/>
      <c r="H231" s="507"/>
      <c r="I231" s="507"/>
      <c r="J231" s="507"/>
      <c r="K231" s="573"/>
      <c r="L231" s="507"/>
      <c r="M231" s="507"/>
      <c r="N231" s="507"/>
    </row>
    <row r="232" spans="2:14" x14ac:dyDescent="0.2">
      <c r="B232" s="507"/>
      <c r="C232" s="507"/>
      <c r="D232" s="507"/>
      <c r="E232" s="507"/>
      <c r="F232" s="507"/>
      <c r="G232" s="507"/>
      <c r="H232" s="507"/>
      <c r="I232" s="507"/>
      <c r="J232" s="507"/>
      <c r="K232" s="573"/>
      <c r="L232" s="507"/>
      <c r="M232" s="507"/>
      <c r="N232" s="507"/>
    </row>
    <row r="233" spans="2:14" s="507" customFormat="1" x14ac:dyDescent="0.2">
      <c r="K233" s="573"/>
    </row>
    <row r="234" spans="2:14" s="507" customFormat="1" x14ac:dyDescent="0.2">
      <c r="K234" s="573"/>
    </row>
    <row r="235" spans="2:14" s="507" customFormat="1" x14ac:dyDescent="0.2">
      <c r="K235" s="573"/>
    </row>
    <row r="236" spans="2:14" s="507" customFormat="1" x14ac:dyDescent="0.2">
      <c r="K236" s="573"/>
    </row>
    <row r="237" spans="2:14" s="507" customFormat="1" x14ac:dyDescent="0.2">
      <c r="K237" s="573"/>
    </row>
    <row r="238" spans="2:14" s="507" customFormat="1" x14ac:dyDescent="0.2">
      <c r="K238" s="573"/>
    </row>
    <row r="239" spans="2:14" s="507" customFormat="1" x14ac:dyDescent="0.2">
      <c r="K239" s="573"/>
    </row>
    <row r="240" spans="2:14" s="507" customFormat="1" x14ac:dyDescent="0.2">
      <c r="K240" s="573"/>
    </row>
    <row r="241" spans="11:11" s="507" customFormat="1" x14ac:dyDescent="0.2">
      <c r="K241" s="573"/>
    </row>
    <row r="242" spans="11:11" s="507" customFormat="1" x14ac:dyDescent="0.2">
      <c r="K242" s="573"/>
    </row>
    <row r="243" spans="11:11" s="507" customFormat="1" x14ac:dyDescent="0.2">
      <c r="K243" s="573"/>
    </row>
    <row r="244" spans="11:11" s="507" customFormat="1" x14ac:dyDescent="0.2">
      <c r="K244" s="573"/>
    </row>
    <row r="245" spans="11:11" s="507" customFormat="1" x14ac:dyDescent="0.2">
      <c r="K245" s="573"/>
    </row>
    <row r="246" spans="11:11" s="507" customFormat="1" x14ac:dyDescent="0.2">
      <c r="K246" s="573"/>
    </row>
    <row r="247" spans="11:11" s="507" customFormat="1" x14ac:dyDescent="0.2">
      <c r="K247" s="573"/>
    </row>
    <row r="248" spans="11:11" s="507" customFormat="1" x14ac:dyDescent="0.2">
      <c r="K248" s="573"/>
    </row>
    <row r="249" spans="11:11" s="507" customFormat="1" x14ac:dyDescent="0.2">
      <c r="K249" s="573"/>
    </row>
    <row r="250" spans="11:11" s="507" customFormat="1" x14ac:dyDescent="0.2">
      <c r="K250" s="573"/>
    </row>
    <row r="251" spans="11:11" s="507" customFormat="1" x14ac:dyDescent="0.2">
      <c r="K251" s="573"/>
    </row>
    <row r="252" spans="11:11" s="507" customFormat="1" x14ac:dyDescent="0.2">
      <c r="K252" s="573"/>
    </row>
    <row r="253" spans="11:11" s="507" customFormat="1" x14ac:dyDescent="0.2">
      <c r="K253" s="573"/>
    </row>
    <row r="254" spans="11:11" s="507" customFormat="1" x14ac:dyDescent="0.2">
      <c r="K254" s="573"/>
    </row>
    <row r="255" spans="11:11" s="507" customFormat="1" x14ac:dyDescent="0.2">
      <c r="K255" s="573"/>
    </row>
    <row r="256" spans="11:11" s="507" customFormat="1" x14ac:dyDescent="0.2">
      <c r="K256" s="573"/>
    </row>
    <row r="257" spans="11:11" s="507" customFormat="1" x14ac:dyDescent="0.2">
      <c r="K257" s="573"/>
    </row>
    <row r="258" spans="11:11" s="507" customFormat="1" x14ac:dyDescent="0.2">
      <c r="K258" s="573"/>
    </row>
    <row r="259" spans="11:11" s="507" customFormat="1" x14ac:dyDescent="0.2">
      <c r="K259" s="573"/>
    </row>
    <row r="260" spans="11:11" s="507" customFormat="1" x14ac:dyDescent="0.2">
      <c r="K260" s="573"/>
    </row>
    <row r="261" spans="11:11" s="507" customFormat="1" x14ac:dyDescent="0.2">
      <c r="K261" s="573"/>
    </row>
    <row r="262" spans="11:11" s="507" customFormat="1" x14ac:dyDescent="0.2">
      <c r="K262" s="573"/>
    </row>
    <row r="263" spans="11:11" s="507" customFormat="1" x14ac:dyDescent="0.2">
      <c r="K263" s="573"/>
    </row>
    <row r="264" spans="11:11" s="507" customFormat="1" x14ac:dyDescent="0.2">
      <c r="K264" s="573"/>
    </row>
    <row r="265" spans="11:11" s="507" customFormat="1" x14ac:dyDescent="0.2">
      <c r="K265" s="573"/>
    </row>
    <row r="266" spans="11:11" s="507" customFormat="1" x14ac:dyDescent="0.2">
      <c r="K266" s="573"/>
    </row>
    <row r="267" spans="11:11" s="507" customFormat="1" x14ac:dyDescent="0.2">
      <c r="K267" s="573"/>
    </row>
    <row r="268" spans="11:11" s="507" customFormat="1" x14ac:dyDescent="0.2">
      <c r="K268" s="573"/>
    </row>
    <row r="269" spans="11:11" s="507" customFormat="1" x14ac:dyDescent="0.2">
      <c r="K269" s="573"/>
    </row>
    <row r="270" spans="11:11" s="507" customFormat="1" x14ac:dyDescent="0.2">
      <c r="K270" s="573"/>
    </row>
    <row r="271" spans="11:11" s="507" customFormat="1" x14ac:dyDescent="0.2">
      <c r="K271" s="573"/>
    </row>
    <row r="272" spans="11:11" s="507" customFormat="1" x14ac:dyDescent="0.2">
      <c r="K272" s="573"/>
    </row>
    <row r="273" spans="11:11" s="507" customFormat="1" x14ac:dyDescent="0.2">
      <c r="K273" s="573"/>
    </row>
    <row r="274" spans="11:11" s="507" customFormat="1" x14ac:dyDescent="0.2">
      <c r="K274" s="573"/>
    </row>
    <row r="275" spans="11:11" s="507" customFormat="1" x14ac:dyDescent="0.2">
      <c r="K275" s="573"/>
    </row>
    <row r="276" spans="11:11" s="507" customFormat="1" x14ac:dyDescent="0.2">
      <c r="K276" s="573"/>
    </row>
    <row r="277" spans="11:11" s="507" customFormat="1" x14ac:dyDescent="0.2">
      <c r="K277" s="573"/>
    </row>
    <row r="278" spans="11:11" s="507" customFormat="1" x14ac:dyDescent="0.2">
      <c r="K278" s="573"/>
    </row>
    <row r="279" spans="11:11" s="507" customFormat="1" x14ac:dyDescent="0.2">
      <c r="K279" s="573"/>
    </row>
    <row r="280" spans="11:11" s="507" customFormat="1" x14ac:dyDescent="0.2">
      <c r="K280" s="573"/>
    </row>
    <row r="281" spans="11:11" s="507" customFormat="1" x14ac:dyDescent="0.2">
      <c r="K281" s="573"/>
    </row>
    <row r="282" spans="11:11" s="507" customFormat="1" x14ac:dyDescent="0.2">
      <c r="K282" s="573"/>
    </row>
    <row r="283" spans="11:11" s="507" customFormat="1" x14ac:dyDescent="0.2">
      <c r="K283" s="573"/>
    </row>
    <row r="284" spans="11:11" s="507" customFormat="1" x14ac:dyDescent="0.2">
      <c r="K284" s="573"/>
    </row>
    <row r="285" spans="11:11" s="507" customFormat="1" x14ac:dyDescent="0.2">
      <c r="K285" s="573"/>
    </row>
    <row r="286" spans="11:11" s="507" customFormat="1" x14ac:dyDescent="0.2">
      <c r="K286" s="573"/>
    </row>
    <row r="287" spans="11:11" s="507" customFormat="1" x14ac:dyDescent="0.2">
      <c r="K287" s="573"/>
    </row>
    <row r="288" spans="11:11" s="507" customFormat="1" x14ac:dyDescent="0.2">
      <c r="K288" s="573"/>
    </row>
    <row r="289" spans="11:11" s="507" customFormat="1" x14ac:dyDescent="0.2">
      <c r="K289" s="573"/>
    </row>
    <row r="290" spans="11:11" s="507" customFormat="1" x14ac:dyDescent="0.2">
      <c r="K290" s="573"/>
    </row>
    <row r="291" spans="11:11" s="507" customFormat="1" x14ac:dyDescent="0.2">
      <c r="K291" s="573"/>
    </row>
    <row r="292" spans="11:11" s="507" customFormat="1" x14ac:dyDescent="0.2">
      <c r="K292" s="573"/>
    </row>
    <row r="293" spans="11:11" s="507" customFormat="1" x14ac:dyDescent="0.2">
      <c r="K293" s="573"/>
    </row>
    <row r="294" spans="11:11" s="507" customFormat="1" x14ac:dyDescent="0.2">
      <c r="K294" s="573"/>
    </row>
    <row r="295" spans="11:11" s="507" customFormat="1" x14ac:dyDescent="0.2">
      <c r="K295" s="573"/>
    </row>
    <row r="296" spans="11:11" s="507" customFormat="1" x14ac:dyDescent="0.2">
      <c r="K296" s="573"/>
    </row>
    <row r="297" spans="11:11" s="507" customFormat="1" x14ac:dyDescent="0.2">
      <c r="K297" s="573"/>
    </row>
    <row r="298" spans="11:11" s="507" customFormat="1" x14ac:dyDescent="0.2">
      <c r="K298" s="573"/>
    </row>
    <row r="299" spans="11:11" s="507" customFormat="1" x14ac:dyDescent="0.2">
      <c r="K299" s="573"/>
    </row>
    <row r="300" spans="11:11" s="507" customFormat="1" x14ac:dyDescent="0.2">
      <c r="K300" s="573"/>
    </row>
    <row r="301" spans="11:11" s="507" customFormat="1" x14ac:dyDescent="0.2">
      <c r="K301" s="573"/>
    </row>
    <row r="302" spans="11:11" s="507" customFormat="1" x14ac:dyDescent="0.2">
      <c r="K302" s="573"/>
    </row>
    <row r="303" spans="11:11" s="507" customFormat="1" x14ac:dyDescent="0.2">
      <c r="K303" s="573"/>
    </row>
    <row r="304" spans="11:11" s="507" customFormat="1" x14ac:dyDescent="0.2">
      <c r="K304" s="573"/>
    </row>
    <row r="305" spans="11:11" s="507" customFormat="1" x14ac:dyDescent="0.2">
      <c r="K305" s="573"/>
    </row>
    <row r="306" spans="11:11" s="507" customFormat="1" x14ac:dyDescent="0.2">
      <c r="K306" s="573"/>
    </row>
    <row r="307" spans="11:11" s="507" customFormat="1" x14ac:dyDescent="0.2">
      <c r="K307" s="573"/>
    </row>
    <row r="308" spans="11:11" s="507" customFormat="1" x14ac:dyDescent="0.2">
      <c r="K308" s="573"/>
    </row>
    <row r="309" spans="11:11" s="507" customFormat="1" x14ac:dyDescent="0.2">
      <c r="K309" s="573"/>
    </row>
    <row r="310" spans="11:11" s="507" customFormat="1" x14ac:dyDescent="0.2">
      <c r="K310" s="573"/>
    </row>
    <row r="311" spans="11:11" s="507" customFormat="1" x14ac:dyDescent="0.2">
      <c r="K311" s="573"/>
    </row>
    <row r="312" spans="11:11" s="507" customFormat="1" x14ac:dyDescent="0.2">
      <c r="K312" s="573"/>
    </row>
    <row r="313" spans="11:11" s="507" customFormat="1" x14ac:dyDescent="0.2">
      <c r="K313" s="573"/>
    </row>
    <row r="314" spans="11:11" s="507" customFormat="1" x14ac:dyDescent="0.2">
      <c r="K314" s="573"/>
    </row>
    <row r="315" spans="11:11" s="507" customFormat="1" x14ac:dyDescent="0.2">
      <c r="K315" s="573"/>
    </row>
    <row r="316" spans="11:11" s="507" customFormat="1" x14ac:dyDescent="0.2">
      <c r="K316" s="573"/>
    </row>
    <row r="317" spans="11:11" s="507" customFormat="1" x14ac:dyDescent="0.2">
      <c r="K317" s="573"/>
    </row>
    <row r="318" spans="11:11" s="507" customFormat="1" x14ac:dyDescent="0.2">
      <c r="K318" s="573"/>
    </row>
    <row r="319" spans="11:11" s="507" customFormat="1" x14ac:dyDescent="0.2">
      <c r="K319" s="573"/>
    </row>
    <row r="320" spans="11:11" s="507" customFormat="1" x14ac:dyDescent="0.2">
      <c r="K320" s="573"/>
    </row>
    <row r="321" spans="11:11" s="507" customFormat="1" x14ac:dyDescent="0.2">
      <c r="K321" s="573"/>
    </row>
    <row r="322" spans="11:11" s="507" customFormat="1" x14ac:dyDescent="0.2">
      <c r="K322" s="573"/>
    </row>
    <row r="323" spans="11:11" s="507" customFormat="1" x14ac:dyDescent="0.2">
      <c r="K323" s="573"/>
    </row>
    <row r="324" spans="11:11" s="507" customFormat="1" x14ac:dyDescent="0.2">
      <c r="K324" s="573"/>
    </row>
    <row r="325" spans="11:11" s="507" customFormat="1" x14ac:dyDescent="0.2">
      <c r="K325" s="573"/>
    </row>
    <row r="326" spans="11:11" s="507" customFormat="1" x14ac:dyDescent="0.2">
      <c r="K326" s="573"/>
    </row>
    <row r="327" spans="11:11" s="507" customFormat="1" x14ac:dyDescent="0.2">
      <c r="K327" s="573"/>
    </row>
    <row r="328" spans="11:11" s="507" customFormat="1" x14ac:dyDescent="0.2">
      <c r="K328" s="573"/>
    </row>
    <row r="329" spans="11:11" s="507" customFormat="1" x14ac:dyDescent="0.2">
      <c r="K329" s="573"/>
    </row>
    <row r="330" spans="11:11" s="507" customFormat="1" x14ac:dyDescent="0.2">
      <c r="K330" s="573"/>
    </row>
    <row r="331" spans="11:11" s="507" customFormat="1" x14ac:dyDescent="0.2">
      <c r="K331" s="573"/>
    </row>
    <row r="332" spans="11:11" s="507" customFormat="1" x14ac:dyDescent="0.2">
      <c r="K332" s="573"/>
    </row>
    <row r="333" spans="11:11" s="507" customFormat="1" x14ac:dyDescent="0.2">
      <c r="K333" s="573"/>
    </row>
    <row r="334" spans="11:11" s="507" customFormat="1" x14ac:dyDescent="0.2">
      <c r="K334" s="573"/>
    </row>
    <row r="335" spans="11:11" s="507" customFormat="1" x14ac:dyDescent="0.2">
      <c r="K335" s="573"/>
    </row>
    <row r="336" spans="11:11" s="507" customFormat="1" x14ac:dyDescent="0.2">
      <c r="K336" s="573"/>
    </row>
    <row r="337" spans="11:11" s="507" customFormat="1" x14ac:dyDescent="0.2">
      <c r="K337" s="573"/>
    </row>
    <row r="338" spans="11:11" s="507" customFormat="1" x14ac:dyDescent="0.2">
      <c r="K338" s="573"/>
    </row>
    <row r="339" spans="11:11" s="507" customFormat="1" x14ac:dyDescent="0.2">
      <c r="K339" s="573"/>
    </row>
    <row r="340" spans="11:11" s="507" customFormat="1" x14ac:dyDescent="0.2">
      <c r="K340" s="573"/>
    </row>
    <row r="341" spans="11:11" s="507" customFormat="1" x14ac:dyDescent="0.2">
      <c r="K341" s="573"/>
    </row>
    <row r="342" spans="11:11" s="507" customFormat="1" x14ac:dyDescent="0.2">
      <c r="K342" s="573"/>
    </row>
    <row r="343" spans="11:11" s="507" customFormat="1" x14ac:dyDescent="0.2">
      <c r="K343" s="573"/>
    </row>
    <row r="344" spans="11:11" s="507" customFormat="1" x14ac:dyDescent="0.2">
      <c r="K344" s="573"/>
    </row>
    <row r="345" spans="11:11" s="507" customFormat="1" x14ac:dyDescent="0.2">
      <c r="K345" s="573"/>
    </row>
    <row r="346" spans="11:11" s="507" customFormat="1" x14ac:dyDescent="0.2">
      <c r="K346" s="573"/>
    </row>
    <row r="347" spans="11:11" s="507" customFormat="1" x14ac:dyDescent="0.2">
      <c r="K347" s="573"/>
    </row>
    <row r="348" spans="11:11" s="507" customFormat="1" x14ac:dyDescent="0.2">
      <c r="K348" s="573"/>
    </row>
    <row r="349" spans="11:11" s="507" customFormat="1" x14ac:dyDescent="0.2">
      <c r="K349" s="573"/>
    </row>
    <row r="350" spans="11:11" s="507" customFormat="1" x14ac:dyDescent="0.2">
      <c r="K350" s="573"/>
    </row>
    <row r="351" spans="11:11" s="507" customFormat="1" x14ac:dyDescent="0.2">
      <c r="K351" s="573"/>
    </row>
    <row r="352" spans="11:11" s="507" customFormat="1" x14ac:dyDescent="0.2">
      <c r="K352" s="573"/>
    </row>
    <row r="353" spans="11:11" s="507" customFormat="1" x14ac:dyDescent="0.2">
      <c r="K353" s="573"/>
    </row>
    <row r="354" spans="11:11" s="507" customFormat="1" x14ac:dyDescent="0.2">
      <c r="K354" s="573"/>
    </row>
    <row r="355" spans="11:11" s="507" customFormat="1" x14ac:dyDescent="0.2">
      <c r="K355" s="573"/>
    </row>
    <row r="356" spans="11:11" s="507" customFormat="1" x14ac:dyDescent="0.2">
      <c r="K356" s="573"/>
    </row>
    <row r="357" spans="11:11" s="507" customFormat="1" x14ac:dyDescent="0.2">
      <c r="K357" s="573"/>
    </row>
    <row r="358" spans="11:11" s="507" customFormat="1" x14ac:dyDescent="0.2">
      <c r="K358" s="573"/>
    </row>
    <row r="359" spans="11:11" s="507" customFormat="1" x14ac:dyDescent="0.2">
      <c r="K359" s="573"/>
    </row>
    <row r="360" spans="11:11" s="507" customFormat="1" x14ac:dyDescent="0.2">
      <c r="K360" s="573"/>
    </row>
    <row r="361" spans="11:11" s="507" customFormat="1" x14ac:dyDescent="0.2">
      <c r="K361" s="573"/>
    </row>
    <row r="362" spans="11:11" s="507" customFormat="1" x14ac:dyDescent="0.2">
      <c r="K362" s="573"/>
    </row>
    <row r="363" spans="11:11" s="507" customFormat="1" x14ac:dyDescent="0.2">
      <c r="K363" s="573"/>
    </row>
    <row r="364" spans="11:11" s="507" customFormat="1" x14ac:dyDescent="0.2">
      <c r="K364" s="573"/>
    </row>
    <row r="365" spans="11:11" s="507" customFormat="1" x14ac:dyDescent="0.2">
      <c r="K365" s="573"/>
    </row>
    <row r="366" spans="11:11" s="507" customFormat="1" x14ac:dyDescent="0.2">
      <c r="K366" s="573"/>
    </row>
    <row r="367" spans="11:11" s="507" customFormat="1" x14ac:dyDescent="0.2">
      <c r="K367" s="573"/>
    </row>
    <row r="368" spans="11:11" s="507" customFormat="1" x14ac:dyDescent="0.2">
      <c r="K368" s="573"/>
    </row>
    <row r="369" spans="11:11" s="507" customFormat="1" x14ac:dyDescent="0.2">
      <c r="K369" s="573"/>
    </row>
    <row r="370" spans="11:11" s="507" customFormat="1" x14ac:dyDescent="0.2">
      <c r="K370" s="573"/>
    </row>
    <row r="371" spans="11:11" s="507" customFormat="1" x14ac:dyDescent="0.2">
      <c r="K371" s="573"/>
    </row>
    <row r="372" spans="11:11" s="507" customFormat="1" x14ac:dyDescent="0.2">
      <c r="K372" s="573"/>
    </row>
    <row r="373" spans="11:11" s="507" customFormat="1" x14ac:dyDescent="0.2">
      <c r="K373" s="573"/>
    </row>
    <row r="374" spans="11:11" s="507" customFormat="1" x14ac:dyDescent="0.2">
      <c r="K374" s="573"/>
    </row>
    <row r="375" spans="11:11" s="507" customFormat="1" x14ac:dyDescent="0.2">
      <c r="K375" s="573"/>
    </row>
    <row r="376" spans="11:11" s="507" customFormat="1" x14ac:dyDescent="0.2">
      <c r="K376" s="573"/>
    </row>
    <row r="377" spans="11:11" s="507" customFormat="1" x14ac:dyDescent="0.2">
      <c r="K377" s="573"/>
    </row>
    <row r="378" spans="11:11" s="507" customFormat="1" x14ac:dyDescent="0.2">
      <c r="K378" s="573"/>
    </row>
    <row r="379" spans="11:11" s="507" customFormat="1" x14ac:dyDescent="0.2">
      <c r="K379" s="573"/>
    </row>
    <row r="380" spans="11:11" s="507" customFormat="1" x14ac:dyDescent="0.2">
      <c r="K380" s="573"/>
    </row>
    <row r="381" spans="11:11" s="507" customFormat="1" x14ac:dyDescent="0.2">
      <c r="K381" s="573"/>
    </row>
    <row r="382" spans="11:11" s="507" customFormat="1" x14ac:dyDescent="0.2">
      <c r="K382" s="573"/>
    </row>
    <row r="383" spans="11:11" s="507" customFormat="1" x14ac:dyDescent="0.2">
      <c r="K383" s="573"/>
    </row>
    <row r="384" spans="11:11" s="507" customFormat="1" x14ac:dyDescent="0.2">
      <c r="K384" s="573"/>
    </row>
    <row r="385" spans="11:11" s="507" customFormat="1" x14ac:dyDescent="0.2">
      <c r="K385" s="573"/>
    </row>
    <row r="386" spans="11:11" s="507" customFormat="1" x14ac:dyDescent="0.2">
      <c r="K386" s="573"/>
    </row>
    <row r="387" spans="11:11" s="507" customFormat="1" x14ac:dyDescent="0.2">
      <c r="K387" s="573"/>
    </row>
    <row r="388" spans="11:11" s="507" customFormat="1" x14ac:dyDescent="0.2">
      <c r="K388" s="573"/>
    </row>
    <row r="389" spans="11:11" s="507" customFormat="1" x14ac:dyDescent="0.2">
      <c r="K389" s="573"/>
    </row>
    <row r="390" spans="11:11" s="507" customFormat="1" x14ac:dyDescent="0.2">
      <c r="K390" s="573"/>
    </row>
    <row r="391" spans="11:11" s="507" customFormat="1" x14ac:dyDescent="0.2">
      <c r="K391" s="573"/>
    </row>
    <row r="392" spans="11:11" s="507" customFormat="1" x14ac:dyDescent="0.2">
      <c r="K392" s="573"/>
    </row>
    <row r="393" spans="11:11" s="507" customFormat="1" x14ac:dyDescent="0.2">
      <c r="K393" s="573"/>
    </row>
    <row r="394" spans="11:11" s="507" customFormat="1" x14ac:dyDescent="0.2">
      <c r="K394" s="573"/>
    </row>
    <row r="395" spans="11:11" s="507" customFormat="1" x14ac:dyDescent="0.2">
      <c r="K395" s="573"/>
    </row>
    <row r="396" spans="11:11" s="507" customFormat="1" x14ac:dyDescent="0.2">
      <c r="K396" s="573"/>
    </row>
    <row r="397" spans="11:11" s="507" customFormat="1" x14ac:dyDescent="0.2">
      <c r="K397" s="573"/>
    </row>
    <row r="398" spans="11:11" s="507" customFormat="1" x14ac:dyDescent="0.2">
      <c r="K398" s="573"/>
    </row>
    <row r="399" spans="11:11" s="507" customFormat="1" x14ac:dyDescent="0.2">
      <c r="K399" s="573"/>
    </row>
    <row r="400" spans="11:11" s="507" customFormat="1" x14ac:dyDescent="0.2">
      <c r="K400" s="573"/>
    </row>
    <row r="401" spans="11:11" s="507" customFormat="1" x14ac:dyDescent="0.2">
      <c r="K401" s="573"/>
    </row>
    <row r="402" spans="11:11" s="507" customFormat="1" x14ac:dyDescent="0.2">
      <c r="K402" s="573"/>
    </row>
    <row r="403" spans="11:11" s="507" customFormat="1" x14ac:dyDescent="0.2">
      <c r="K403" s="573"/>
    </row>
    <row r="404" spans="11:11" s="507" customFormat="1" x14ac:dyDescent="0.2">
      <c r="K404" s="573"/>
    </row>
    <row r="405" spans="11:11" s="507" customFormat="1" x14ac:dyDescent="0.2">
      <c r="K405" s="573"/>
    </row>
    <row r="406" spans="11:11" s="507" customFormat="1" x14ac:dyDescent="0.2">
      <c r="K406" s="573"/>
    </row>
    <row r="407" spans="11:11" s="507" customFormat="1" x14ac:dyDescent="0.2">
      <c r="K407" s="573"/>
    </row>
    <row r="408" spans="11:11" s="507" customFormat="1" x14ac:dyDescent="0.2">
      <c r="K408" s="573"/>
    </row>
    <row r="409" spans="11:11" s="507" customFormat="1" x14ac:dyDescent="0.2">
      <c r="K409" s="573"/>
    </row>
    <row r="410" spans="11:11" s="507" customFormat="1" x14ac:dyDescent="0.2">
      <c r="K410" s="573"/>
    </row>
    <row r="411" spans="11:11" s="507" customFormat="1" x14ac:dyDescent="0.2">
      <c r="K411" s="573"/>
    </row>
    <row r="412" spans="11:11" s="507" customFormat="1" x14ac:dyDescent="0.2">
      <c r="K412" s="573"/>
    </row>
    <row r="413" spans="11:11" s="507" customFormat="1" x14ac:dyDescent="0.2">
      <c r="K413" s="573"/>
    </row>
    <row r="414" spans="11:11" s="507" customFormat="1" x14ac:dyDescent="0.2">
      <c r="K414" s="573"/>
    </row>
    <row r="415" spans="11:11" s="507" customFormat="1" x14ac:dyDescent="0.2">
      <c r="K415" s="573"/>
    </row>
    <row r="416" spans="11:11" s="507" customFormat="1" x14ac:dyDescent="0.2">
      <c r="K416" s="573"/>
    </row>
    <row r="417" spans="11:11" s="507" customFormat="1" x14ac:dyDescent="0.2">
      <c r="K417" s="573"/>
    </row>
    <row r="418" spans="11:11" s="507" customFormat="1" x14ac:dyDescent="0.2">
      <c r="K418" s="573"/>
    </row>
    <row r="419" spans="11:11" s="507" customFormat="1" x14ac:dyDescent="0.2">
      <c r="K419" s="573"/>
    </row>
    <row r="420" spans="11:11" s="507" customFormat="1" x14ac:dyDescent="0.2">
      <c r="K420" s="573"/>
    </row>
    <row r="421" spans="11:11" s="507" customFormat="1" x14ac:dyDescent="0.2">
      <c r="K421" s="573"/>
    </row>
    <row r="422" spans="11:11" s="507" customFormat="1" x14ac:dyDescent="0.2">
      <c r="K422" s="573"/>
    </row>
    <row r="423" spans="11:11" s="507" customFormat="1" x14ac:dyDescent="0.2">
      <c r="K423" s="573"/>
    </row>
    <row r="424" spans="11:11" s="507" customFormat="1" x14ac:dyDescent="0.2">
      <c r="K424" s="573"/>
    </row>
    <row r="425" spans="11:11" s="507" customFormat="1" x14ac:dyDescent="0.2">
      <c r="K425" s="573"/>
    </row>
    <row r="426" spans="11:11" s="507" customFormat="1" x14ac:dyDescent="0.2">
      <c r="K426" s="573"/>
    </row>
    <row r="427" spans="11:11" s="507" customFormat="1" x14ac:dyDescent="0.2">
      <c r="K427" s="573"/>
    </row>
    <row r="428" spans="11:11" s="507" customFormat="1" x14ac:dyDescent="0.2">
      <c r="K428" s="573"/>
    </row>
    <row r="429" spans="11:11" s="507" customFormat="1" x14ac:dyDescent="0.2">
      <c r="K429" s="573"/>
    </row>
    <row r="430" spans="11:11" s="507" customFormat="1" x14ac:dyDescent="0.2">
      <c r="K430" s="573"/>
    </row>
    <row r="431" spans="11:11" s="507" customFormat="1" x14ac:dyDescent="0.2">
      <c r="K431" s="573"/>
    </row>
    <row r="432" spans="11:11" s="507" customFormat="1" x14ac:dyDescent="0.2">
      <c r="K432" s="573"/>
    </row>
    <row r="433" spans="11:11" s="507" customFormat="1" x14ac:dyDescent="0.2">
      <c r="K433" s="573"/>
    </row>
    <row r="434" spans="11:11" s="507" customFormat="1" x14ac:dyDescent="0.2">
      <c r="K434" s="573"/>
    </row>
    <row r="435" spans="11:11" s="507" customFormat="1" x14ac:dyDescent="0.2">
      <c r="K435" s="573"/>
    </row>
    <row r="436" spans="11:11" s="507" customFormat="1" x14ac:dyDescent="0.2">
      <c r="K436" s="573"/>
    </row>
    <row r="437" spans="11:11" s="507" customFormat="1" x14ac:dyDescent="0.2">
      <c r="K437" s="573"/>
    </row>
    <row r="438" spans="11:11" s="507" customFormat="1" x14ac:dyDescent="0.2">
      <c r="K438" s="573"/>
    </row>
    <row r="439" spans="11:11" s="507" customFormat="1" x14ac:dyDescent="0.2">
      <c r="K439" s="573"/>
    </row>
    <row r="440" spans="11:11" s="507" customFormat="1" x14ac:dyDescent="0.2">
      <c r="K440" s="573"/>
    </row>
    <row r="441" spans="11:11" s="507" customFormat="1" x14ac:dyDescent="0.2">
      <c r="K441" s="573"/>
    </row>
    <row r="442" spans="11:11" s="507" customFormat="1" x14ac:dyDescent="0.2">
      <c r="K442" s="573"/>
    </row>
    <row r="443" spans="11:11" s="507" customFormat="1" x14ac:dyDescent="0.2">
      <c r="K443" s="573"/>
    </row>
    <row r="444" spans="11:11" s="507" customFormat="1" x14ac:dyDescent="0.2">
      <c r="K444" s="573"/>
    </row>
    <row r="445" spans="11:11" s="507" customFormat="1" x14ac:dyDescent="0.2">
      <c r="K445" s="573"/>
    </row>
    <row r="446" spans="11:11" s="507" customFormat="1" x14ac:dyDescent="0.2">
      <c r="K446" s="573"/>
    </row>
    <row r="447" spans="11:11" s="507" customFormat="1" x14ac:dyDescent="0.2">
      <c r="K447" s="573"/>
    </row>
    <row r="448" spans="11:11" s="507" customFormat="1" x14ac:dyDescent="0.2">
      <c r="K448" s="573"/>
    </row>
    <row r="449" spans="11:11" s="507" customFormat="1" x14ac:dyDescent="0.2">
      <c r="K449" s="573"/>
    </row>
    <row r="450" spans="11:11" s="507" customFormat="1" x14ac:dyDescent="0.2">
      <c r="K450" s="573"/>
    </row>
    <row r="451" spans="11:11" s="507" customFormat="1" x14ac:dyDescent="0.2">
      <c r="K451" s="573"/>
    </row>
    <row r="452" spans="11:11" s="507" customFormat="1" x14ac:dyDescent="0.2">
      <c r="K452" s="573"/>
    </row>
    <row r="453" spans="11:11" s="507" customFormat="1" x14ac:dyDescent="0.2">
      <c r="K453" s="573"/>
    </row>
    <row r="454" spans="11:11" s="507" customFormat="1" x14ac:dyDescent="0.2">
      <c r="K454" s="573"/>
    </row>
    <row r="455" spans="11:11" s="507" customFormat="1" x14ac:dyDescent="0.2">
      <c r="K455" s="573"/>
    </row>
    <row r="456" spans="11:11" s="507" customFormat="1" x14ac:dyDescent="0.2">
      <c r="K456" s="573"/>
    </row>
    <row r="457" spans="11:11" s="507" customFormat="1" x14ac:dyDescent="0.2">
      <c r="K457" s="573"/>
    </row>
    <row r="458" spans="11:11" s="507" customFormat="1" x14ac:dyDescent="0.2">
      <c r="K458" s="573"/>
    </row>
    <row r="459" spans="11:11" s="507" customFormat="1" x14ac:dyDescent="0.2">
      <c r="K459" s="573"/>
    </row>
    <row r="460" spans="11:11" s="507" customFormat="1" x14ac:dyDescent="0.2">
      <c r="K460" s="573"/>
    </row>
    <row r="461" spans="11:11" s="507" customFormat="1" x14ac:dyDescent="0.2">
      <c r="K461" s="573"/>
    </row>
    <row r="462" spans="11:11" s="507" customFormat="1" x14ac:dyDescent="0.2">
      <c r="K462" s="573"/>
    </row>
    <row r="463" spans="11:11" s="507" customFormat="1" x14ac:dyDescent="0.2">
      <c r="K463" s="573"/>
    </row>
    <row r="464" spans="11:11" s="507" customFormat="1" x14ac:dyDescent="0.2">
      <c r="K464" s="573"/>
    </row>
    <row r="465" spans="11:11" s="507" customFormat="1" x14ac:dyDescent="0.2">
      <c r="K465" s="573"/>
    </row>
    <row r="466" spans="11:11" s="507" customFormat="1" x14ac:dyDescent="0.2">
      <c r="K466" s="573"/>
    </row>
    <row r="467" spans="11:11" s="507" customFormat="1" x14ac:dyDescent="0.2">
      <c r="K467" s="573"/>
    </row>
    <row r="468" spans="11:11" s="507" customFormat="1" x14ac:dyDescent="0.2">
      <c r="K468" s="573"/>
    </row>
    <row r="469" spans="11:11" s="507" customFormat="1" x14ac:dyDescent="0.2">
      <c r="K469" s="573"/>
    </row>
    <row r="470" spans="11:11" s="507" customFormat="1" x14ac:dyDescent="0.2">
      <c r="K470" s="573"/>
    </row>
    <row r="471" spans="11:11" s="507" customFormat="1" x14ac:dyDescent="0.2">
      <c r="K471" s="573"/>
    </row>
    <row r="472" spans="11:11" s="507" customFormat="1" x14ac:dyDescent="0.2">
      <c r="K472" s="573"/>
    </row>
    <row r="473" spans="11:11" s="507" customFormat="1" x14ac:dyDescent="0.2">
      <c r="K473" s="573"/>
    </row>
    <row r="474" spans="11:11" s="507" customFormat="1" x14ac:dyDescent="0.2">
      <c r="K474" s="573"/>
    </row>
    <row r="475" spans="11:11" s="507" customFormat="1" x14ac:dyDescent="0.2">
      <c r="K475" s="573"/>
    </row>
    <row r="476" spans="11:11" s="507" customFormat="1" x14ac:dyDescent="0.2">
      <c r="K476" s="573"/>
    </row>
    <row r="477" spans="11:11" s="507" customFormat="1" x14ac:dyDescent="0.2">
      <c r="K477" s="573"/>
    </row>
    <row r="478" spans="11:11" s="507" customFormat="1" x14ac:dyDescent="0.2">
      <c r="K478" s="573"/>
    </row>
    <row r="479" spans="11:11" s="507" customFormat="1" x14ac:dyDescent="0.2">
      <c r="K479" s="573"/>
    </row>
    <row r="480" spans="11:11" s="507" customFormat="1" x14ac:dyDescent="0.2">
      <c r="K480" s="573"/>
    </row>
    <row r="481" spans="11:11" s="507" customFormat="1" x14ac:dyDescent="0.2">
      <c r="K481" s="573"/>
    </row>
    <row r="482" spans="11:11" s="507" customFormat="1" x14ac:dyDescent="0.2">
      <c r="K482" s="573"/>
    </row>
    <row r="483" spans="11:11" s="507" customFormat="1" x14ac:dyDescent="0.2">
      <c r="K483" s="573"/>
    </row>
    <row r="484" spans="11:11" s="507" customFormat="1" x14ac:dyDescent="0.2">
      <c r="K484" s="573"/>
    </row>
    <row r="485" spans="11:11" s="507" customFormat="1" x14ac:dyDescent="0.2">
      <c r="K485" s="573"/>
    </row>
    <row r="486" spans="11:11" s="507" customFormat="1" x14ac:dyDescent="0.2">
      <c r="K486" s="573"/>
    </row>
    <row r="487" spans="11:11" s="507" customFormat="1" x14ac:dyDescent="0.2">
      <c r="K487" s="573"/>
    </row>
  </sheetData>
  <sheetProtection password="E421" sheet="1" objects="1" scenarios="1"/>
  <mergeCells count="136">
    <mergeCell ref="A212:L212"/>
    <mergeCell ref="A213:L214"/>
    <mergeCell ref="D132:E132"/>
    <mergeCell ref="D133:E133"/>
    <mergeCell ref="D134:E134"/>
    <mergeCell ref="A207:L208"/>
    <mergeCell ref="A209:L209"/>
    <mergeCell ref="A210:L211"/>
    <mergeCell ref="D126:E126"/>
    <mergeCell ref="D127:E127"/>
    <mergeCell ref="D128:E128"/>
    <mergeCell ref="D129:E129"/>
    <mergeCell ref="D130:E130"/>
    <mergeCell ref="D131:E131"/>
    <mergeCell ref="G118:M119"/>
    <mergeCell ref="D121:E121"/>
    <mergeCell ref="D122:E122"/>
    <mergeCell ref="D123:E123"/>
    <mergeCell ref="D124:E124"/>
    <mergeCell ref="D125:E125"/>
    <mergeCell ref="B91:C91"/>
    <mergeCell ref="D91:M91"/>
    <mergeCell ref="B92:C92"/>
    <mergeCell ref="D92:M92"/>
    <mergeCell ref="B93:C93"/>
    <mergeCell ref="D93:M93"/>
    <mergeCell ref="D87:M87"/>
    <mergeCell ref="B88:M88"/>
    <mergeCell ref="B89:C89"/>
    <mergeCell ref="D89:M89"/>
    <mergeCell ref="B90:C90"/>
    <mergeCell ref="D90:M90"/>
    <mergeCell ref="B83:M83"/>
    <mergeCell ref="B84:C84"/>
    <mergeCell ref="D84:M84"/>
    <mergeCell ref="B85:C85"/>
    <mergeCell ref="D85:M85"/>
    <mergeCell ref="B86:C86"/>
    <mergeCell ref="D86:M86"/>
    <mergeCell ref="N75:N93"/>
    <mergeCell ref="B76:C76"/>
    <mergeCell ref="D76:M76"/>
    <mergeCell ref="B77:C77"/>
    <mergeCell ref="D77:M77"/>
    <mergeCell ref="B78:M78"/>
    <mergeCell ref="B79:C79"/>
    <mergeCell ref="B67:C67"/>
    <mergeCell ref="D67:M67"/>
    <mergeCell ref="D68:F68"/>
    <mergeCell ref="G68:I68"/>
    <mergeCell ref="D69:F73"/>
    <mergeCell ref="G69:I73"/>
    <mergeCell ref="D79:M79"/>
    <mergeCell ref="B80:C80"/>
    <mergeCell ref="D80:M80"/>
    <mergeCell ref="B81:C81"/>
    <mergeCell ref="D81:M81"/>
    <mergeCell ref="B82:C82"/>
    <mergeCell ref="D82:M82"/>
    <mergeCell ref="B74:C74"/>
    <mergeCell ref="D74:M74"/>
    <mergeCell ref="B75:M75"/>
    <mergeCell ref="B87:C87"/>
    <mergeCell ref="D59:F63"/>
    <mergeCell ref="G59:I63"/>
    <mergeCell ref="B64:C64"/>
    <mergeCell ref="D64:M64"/>
    <mergeCell ref="B65:M65"/>
    <mergeCell ref="B66:C66"/>
    <mergeCell ref="D66:M66"/>
    <mergeCell ref="B55:M55"/>
    <mergeCell ref="B56:C56"/>
    <mergeCell ref="D56:M56"/>
    <mergeCell ref="B57:C57"/>
    <mergeCell ref="D57:M57"/>
    <mergeCell ref="D58:F58"/>
    <mergeCell ref="G58:I58"/>
    <mergeCell ref="D48:F48"/>
    <mergeCell ref="G48:I48"/>
    <mergeCell ref="D49:F53"/>
    <mergeCell ref="G49:I53"/>
    <mergeCell ref="B54:C54"/>
    <mergeCell ref="D54:M54"/>
    <mergeCell ref="B44:C44"/>
    <mergeCell ref="D44:M44"/>
    <mergeCell ref="B45:M45"/>
    <mergeCell ref="B46:C46"/>
    <mergeCell ref="D46:M46"/>
    <mergeCell ref="B47:C47"/>
    <mergeCell ref="D47:M47"/>
    <mergeCell ref="B37:C37"/>
    <mergeCell ref="D37:M37"/>
    <mergeCell ref="D38:F38"/>
    <mergeCell ref="G38:I38"/>
    <mergeCell ref="D39:F43"/>
    <mergeCell ref="G39:I43"/>
    <mergeCell ref="D29:F33"/>
    <mergeCell ref="G29:I33"/>
    <mergeCell ref="B34:C34"/>
    <mergeCell ref="D34:M34"/>
    <mergeCell ref="B35:M35"/>
    <mergeCell ref="B36:C36"/>
    <mergeCell ref="D36:M36"/>
    <mergeCell ref="B23:C23"/>
    <mergeCell ref="B24:C24"/>
    <mergeCell ref="B25:C25"/>
    <mergeCell ref="B27:M27"/>
    <mergeCell ref="D28:F28"/>
    <mergeCell ref="G28:I28"/>
    <mergeCell ref="N15:N22"/>
    <mergeCell ref="B17:C17"/>
    <mergeCell ref="B18:C18"/>
    <mergeCell ref="B19:C19"/>
    <mergeCell ref="B20:C20"/>
    <mergeCell ref="B21:C21"/>
    <mergeCell ref="B22:C22"/>
    <mergeCell ref="B14:M14"/>
    <mergeCell ref="B15:C16"/>
    <mergeCell ref="D15:E15"/>
    <mergeCell ref="F15:G15"/>
    <mergeCell ref="H15:I15"/>
    <mergeCell ref="J15:K15"/>
    <mergeCell ref="L15:M15"/>
    <mergeCell ref="C10:M10"/>
    <mergeCell ref="C11:M11"/>
    <mergeCell ref="N11:N12"/>
    <mergeCell ref="C12:M12"/>
    <mergeCell ref="D13:F13"/>
    <mergeCell ref="G13:I13"/>
    <mergeCell ref="J13:M13"/>
    <mergeCell ref="B1:E1"/>
    <mergeCell ref="F1:M1"/>
    <mergeCell ref="B3:M3"/>
    <mergeCell ref="B4:M4"/>
    <mergeCell ref="B8:M8"/>
    <mergeCell ref="C9:M9"/>
  </mergeCells>
  <conditionalFormatting sqref="F1:M1">
    <cfRule type="containsText" dxfId="168" priority="43" operator="containsText" text="0">
      <formula>NOT(ISERROR(SEARCH("0",F1)))</formula>
    </cfRule>
  </conditionalFormatting>
  <conditionalFormatting sqref="C9:M10">
    <cfRule type="cellIs" dxfId="167" priority="42" operator="lessThanOrEqual">
      <formula>0</formula>
    </cfRule>
  </conditionalFormatting>
  <conditionalFormatting sqref="D79:M80 D84:M85 D90:M91">
    <cfRule type="containsErrors" dxfId="166" priority="41">
      <formula>ISERROR(D79)</formula>
    </cfRule>
  </conditionalFormatting>
  <conditionalFormatting sqref="D79:M79">
    <cfRule type="cellIs" dxfId="165" priority="39" operator="equal">
      <formula>0</formula>
    </cfRule>
  </conditionalFormatting>
  <conditionalFormatting sqref="E77:M77 D76:D77">
    <cfRule type="cellIs" dxfId="164" priority="37" operator="lessThanOrEqual">
      <formula>0</formula>
    </cfRule>
  </conditionalFormatting>
  <conditionalFormatting sqref="D81:M81">
    <cfRule type="cellIs" dxfId="163" priority="36" operator="lessThanOrEqual">
      <formula>0</formula>
    </cfRule>
  </conditionalFormatting>
  <conditionalFormatting sqref="D86:M86">
    <cfRule type="cellIs" dxfId="162" priority="35" operator="lessThanOrEqual">
      <formula>0</formula>
    </cfRule>
  </conditionalFormatting>
  <conditionalFormatting sqref="D92:M92">
    <cfRule type="cellIs" dxfId="161" priority="34" operator="lessThanOrEqual">
      <formula>0</formula>
    </cfRule>
  </conditionalFormatting>
  <conditionalFormatting sqref="C11:M12 D13 J13">
    <cfRule type="containsErrors" dxfId="160" priority="33">
      <formula>ISERROR(C11)</formula>
    </cfRule>
  </conditionalFormatting>
  <conditionalFormatting sqref="C12:M12 D13 J13">
    <cfRule type="cellIs" dxfId="159" priority="32" stopIfTrue="1" operator="lessThanOrEqual">
      <formula>0</formula>
    </cfRule>
  </conditionalFormatting>
  <conditionalFormatting sqref="B143:C152">
    <cfRule type="containsErrors" dxfId="158" priority="17">
      <formula>ISERROR(B143)</formula>
    </cfRule>
  </conditionalFormatting>
  <conditionalFormatting sqref="B153:C156">
    <cfRule type="containsErrors" dxfId="157" priority="16">
      <formula>ISERROR(B153)</formula>
    </cfRule>
  </conditionalFormatting>
  <conditionalFormatting sqref="B157:C160">
    <cfRule type="containsErrors" dxfId="156" priority="15">
      <formula>ISERROR(B157)</formula>
    </cfRule>
  </conditionalFormatting>
  <conditionalFormatting sqref="B161:C164">
    <cfRule type="containsErrors" dxfId="155" priority="14">
      <formula>ISERROR(B161)</formula>
    </cfRule>
  </conditionalFormatting>
  <conditionalFormatting sqref="B165:C168">
    <cfRule type="containsErrors" dxfId="154" priority="13">
      <formula>ISERROR(B165)</formula>
    </cfRule>
  </conditionalFormatting>
  <conditionalFormatting sqref="D29:D34 E29:F33 D54">
    <cfRule type="containsErrors" dxfId="153" priority="12">
      <formula>ISERROR(D29)</formula>
    </cfRule>
  </conditionalFormatting>
  <conditionalFormatting sqref="N43 N33:N34 N53 N63 N73">
    <cfRule type="containsErrors" dxfId="152" priority="11">
      <formula>ISERROR(N33)</formula>
    </cfRule>
  </conditionalFormatting>
  <conditionalFormatting sqref="D74:M74 D64:M64 D54:M54 D44:M44 D34:M34">
    <cfRule type="cellIs" dxfId="151" priority="10" stopIfTrue="1" operator="lessThanOrEqual">
      <formula>0</formula>
    </cfRule>
  </conditionalFormatting>
  <conditionalFormatting sqref="D29:F33">
    <cfRule type="cellIs" dxfId="150" priority="9" operator="lessThanOrEqual">
      <formula>0</formula>
    </cfRule>
  </conditionalFormatting>
  <conditionalFormatting sqref="D39:F43">
    <cfRule type="containsErrors" dxfId="149" priority="8">
      <formula>ISERROR(D39)</formula>
    </cfRule>
  </conditionalFormatting>
  <conditionalFormatting sqref="D39:F43">
    <cfRule type="cellIs" dxfId="148" priority="7" operator="lessThanOrEqual">
      <formula>0</formula>
    </cfRule>
  </conditionalFormatting>
  <conditionalFormatting sqref="D49:F53">
    <cfRule type="containsErrors" dxfId="147" priority="6">
      <formula>ISERROR(D49)</formula>
    </cfRule>
  </conditionalFormatting>
  <conditionalFormatting sqref="D49:F53">
    <cfRule type="cellIs" dxfId="146" priority="5" operator="lessThanOrEqual">
      <formula>0</formula>
    </cfRule>
  </conditionalFormatting>
  <conditionalFormatting sqref="D59:F63">
    <cfRule type="containsErrors" dxfId="145" priority="4">
      <formula>ISERROR(D59)</formula>
    </cfRule>
  </conditionalFormatting>
  <conditionalFormatting sqref="D59:F63">
    <cfRule type="cellIs" dxfId="144" priority="3" operator="lessThanOrEqual">
      <formula>0</formula>
    </cfRule>
  </conditionalFormatting>
  <conditionalFormatting sqref="D69:F73">
    <cfRule type="containsErrors" dxfId="143" priority="2">
      <formula>ISERROR(D69)</formula>
    </cfRule>
  </conditionalFormatting>
  <conditionalFormatting sqref="D69:F73">
    <cfRule type="cellIs" dxfId="142" priority="1" operator="lessThanOrEqual">
      <formula>0</formula>
    </cfRule>
  </conditionalFormatting>
  <dataValidations count="2">
    <dataValidation type="list" allowBlank="1" showInputMessage="1" showErrorMessage="1" sqref="C13" xr:uid="{00000000-0002-0000-1400-000000000000}">
      <formula1>Cistern</formula1>
    </dataValidation>
    <dataValidation type="list" allowBlank="1" showInputMessage="1" showErrorMessage="1" sqref="C29:C33 C69:C73 C59:C63 C49:C53 C39:C43" xr:uid="{00000000-0002-0000-1400-000001000000}">
      <formula1>$B$122:$B$134</formula1>
    </dataValidation>
  </dataValidations>
  <hyperlinks>
    <hyperlink ref="A210:J211" location="'SITE SUMMARY'!A1" display="CONTINUE TO SITE SUMMARY" xr:uid="{00000000-0004-0000-1400-000000000000}"/>
    <hyperlink ref="A213:J214" location="'SITE SUMMARY'!A1" display="CONTINUE TO SITE SUMMARY" xr:uid="{00000000-0004-0000-1400-000001000000}"/>
    <hyperlink ref="A210:L211" location="'BMP SUMMARY'!A1" display="CONTINUE TO BMP SUMMARY" xr:uid="{00000000-0004-0000-1400-000002000000}"/>
    <hyperlink ref="A207:J208" location="'DA2'!A1" display="CLICK TO ADD ANOTHER DRAINAGE AREA" xr:uid="{00000000-0004-0000-1400-000003000000}"/>
    <hyperlink ref="A207:L208" location="DA2_BMPs!A1" display="CLICK TO ADD BMPS TO ANOTHER DRAINAGE AREA" xr:uid="{00000000-0004-0000-1400-000004000000}"/>
  </hyperlinks>
  <printOptions horizontalCentered="1"/>
  <pageMargins left="0.7" right="0.7" top="0.75" bottom="0.75" header="0.3" footer="0.3"/>
  <pageSetup scale="42" fitToHeight="2" orientation="portrait" r:id="rId1"/>
  <headerFooter>
    <oddFooter>&amp;A&amp;RPage &amp;P</oddFooter>
  </headerFooter>
  <rowBreaks count="1" manualBreakCount="1">
    <brk id="54" min="1" max="12" man="1"/>
  </rowBreaks>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030A0"/>
  </sheetPr>
  <dimension ref="A1:AA487"/>
  <sheetViews>
    <sheetView showRowColHeaders="0" zoomScale="70" zoomScaleNormal="70" zoomScalePageLayoutView="55" workbookViewId="0">
      <selection activeCell="C13" sqref="C13"/>
    </sheetView>
  </sheetViews>
  <sheetFormatPr defaultRowHeight="15" x14ac:dyDescent="0.2"/>
  <cols>
    <col min="1" max="1" width="3.77734375" style="507" customWidth="1"/>
    <col min="2" max="2" width="39" style="161" customWidth="1"/>
    <col min="3" max="3" width="42.5546875" style="161" bestFit="1" customWidth="1"/>
    <col min="4" max="10" width="9.77734375" style="161" customWidth="1"/>
    <col min="11" max="11" width="9.77734375" style="398" customWidth="1"/>
    <col min="12" max="13" width="9.77734375" style="161" customWidth="1"/>
    <col min="14" max="14" width="77" style="161" customWidth="1"/>
    <col min="15" max="25" width="8.88671875" style="507"/>
    <col min="26" max="16384" width="8.88671875" style="161"/>
  </cols>
  <sheetData>
    <row r="1" spans="1:25" ht="16.5" customHeight="1" thickBot="1" x14ac:dyDescent="0.3">
      <c r="B1" s="787" t="s">
        <v>31</v>
      </c>
      <c r="C1" s="787"/>
      <c r="D1" s="787"/>
      <c r="E1" s="931"/>
      <c r="F1" s="1107">
        <f>'SITE DATA'!F9</f>
        <v>0</v>
      </c>
      <c r="G1" s="1108"/>
      <c r="H1" s="1108"/>
      <c r="I1" s="1108"/>
      <c r="J1" s="1108"/>
      <c r="K1" s="1108"/>
      <c r="L1" s="1108"/>
      <c r="M1" s="1109"/>
      <c r="N1" s="507"/>
    </row>
    <row r="2" spans="1:25" ht="16.5" customHeight="1" x14ac:dyDescent="0.2">
      <c r="B2" s="575"/>
      <c r="C2" s="575"/>
      <c r="D2" s="575"/>
      <c r="E2" s="575"/>
      <c r="F2" s="575"/>
      <c r="G2" s="575"/>
      <c r="H2" s="575"/>
      <c r="I2" s="575"/>
      <c r="J2" s="575"/>
      <c r="K2" s="237"/>
      <c r="L2" s="575"/>
      <c r="M2" s="575"/>
      <c r="N2" s="507"/>
    </row>
    <row r="3" spans="1:25" ht="16.5" customHeight="1" x14ac:dyDescent="0.25">
      <c r="B3" s="797" t="s">
        <v>395</v>
      </c>
      <c r="C3" s="797"/>
      <c r="D3" s="797"/>
      <c r="E3" s="797"/>
      <c r="F3" s="797"/>
      <c r="G3" s="797"/>
      <c r="H3" s="797"/>
      <c r="I3" s="797"/>
      <c r="J3" s="797"/>
      <c r="K3" s="797"/>
      <c r="L3" s="797"/>
      <c r="M3" s="797"/>
      <c r="N3" s="507"/>
    </row>
    <row r="4" spans="1:25" ht="16.5" customHeight="1" x14ac:dyDescent="0.25">
      <c r="B4" s="797" t="s">
        <v>359</v>
      </c>
      <c r="C4" s="797"/>
      <c r="D4" s="797"/>
      <c r="E4" s="797"/>
      <c r="F4" s="797"/>
      <c r="G4" s="797"/>
      <c r="H4" s="797"/>
      <c r="I4" s="797"/>
      <c r="J4" s="797"/>
      <c r="K4" s="797"/>
      <c r="L4" s="797"/>
      <c r="M4" s="797"/>
      <c r="N4" s="507"/>
    </row>
    <row r="5" spans="1:25" ht="16.5" customHeight="1" x14ac:dyDescent="0.2">
      <c r="B5" s="507"/>
      <c r="C5" s="507"/>
      <c r="D5" s="507"/>
      <c r="E5" s="507"/>
      <c r="F5" s="507"/>
      <c r="G5" s="507"/>
      <c r="H5" s="507"/>
      <c r="I5" s="507"/>
      <c r="J5" s="507"/>
      <c r="K5" s="573"/>
      <c r="L5" s="507"/>
      <c r="M5" s="507"/>
      <c r="N5" s="507"/>
    </row>
    <row r="6" spans="1:25" ht="16.5" customHeight="1" x14ac:dyDescent="0.2">
      <c r="B6" s="507"/>
      <c r="C6" s="507"/>
      <c r="D6" s="366"/>
      <c r="E6" s="366"/>
      <c r="F6" s="366"/>
      <c r="G6" s="305"/>
      <c r="H6" s="305"/>
      <c r="I6" s="366"/>
      <c r="J6" s="366"/>
      <c r="K6" s="367"/>
      <c r="L6" s="507"/>
      <c r="M6" s="507"/>
    </row>
    <row r="7" spans="1:25" ht="16.5" customHeight="1" thickBot="1" x14ac:dyDescent="0.25">
      <c r="B7" s="507"/>
      <c r="C7" s="507"/>
      <c r="D7" s="305"/>
      <c r="E7" s="305"/>
      <c r="F7" s="305"/>
      <c r="G7" s="305"/>
      <c r="H7" s="305"/>
      <c r="I7" s="305"/>
      <c r="J7" s="305"/>
      <c r="K7" s="160"/>
      <c r="L7" s="507"/>
      <c r="M7" s="507"/>
      <c r="N7" s="507"/>
    </row>
    <row r="8" spans="1:25" s="306" customFormat="1" ht="24.95" customHeight="1" thickTop="1" thickBot="1" x14ac:dyDescent="0.25">
      <c r="A8" s="164"/>
      <c r="B8" s="1081" t="s">
        <v>274</v>
      </c>
      <c r="C8" s="1082"/>
      <c r="D8" s="1082"/>
      <c r="E8" s="1082"/>
      <c r="F8" s="1082"/>
      <c r="G8" s="1082"/>
      <c r="H8" s="1082"/>
      <c r="I8" s="1082"/>
      <c r="J8" s="1082"/>
      <c r="K8" s="1082"/>
      <c r="L8" s="1082"/>
      <c r="M8" s="1083"/>
      <c r="N8" s="238" t="s">
        <v>319</v>
      </c>
      <c r="O8" s="164"/>
      <c r="P8" s="164"/>
      <c r="Q8" s="164"/>
      <c r="R8" s="164"/>
      <c r="S8" s="164"/>
      <c r="T8" s="164"/>
      <c r="U8" s="164"/>
      <c r="V8" s="164"/>
      <c r="W8" s="164"/>
      <c r="X8" s="164"/>
      <c r="Y8" s="164"/>
    </row>
    <row r="9" spans="1:25" s="306" customFormat="1" ht="24.95" customHeight="1" thickTop="1" x14ac:dyDescent="0.2">
      <c r="A9" s="164"/>
      <c r="B9" s="241" t="s">
        <v>681</v>
      </c>
      <c r="C9" s="1087">
        <f>'DA8'!H10</f>
        <v>0</v>
      </c>
      <c r="D9" s="1087"/>
      <c r="E9" s="1087"/>
      <c r="F9" s="1087"/>
      <c r="G9" s="1087"/>
      <c r="H9" s="1087"/>
      <c r="I9" s="1087"/>
      <c r="J9" s="1087"/>
      <c r="K9" s="1087"/>
      <c r="L9" s="1087"/>
      <c r="M9" s="1088"/>
      <c r="N9" s="307"/>
      <c r="O9" s="164"/>
      <c r="P9" s="164"/>
      <c r="Q9" s="164"/>
      <c r="R9" s="164"/>
      <c r="S9" s="164"/>
      <c r="T9" s="164"/>
      <c r="U9" s="164"/>
      <c r="V9" s="164"/>
      <c r="W9" s="164"/>
      <c r="X9" s="164"/>
      <c r="Y9" s="164"/>
    </row>
    <row r="10" spans="1:25" s="306" customFormat="1" ht="24.95" customHeight="1" x14ac:dyDescent="0.2">
      <c r="A10" s="164"/>
      <c r="B10" s="241" t="s">
        <v>682</v>
      </c>
      <c r="C10" s="1087">
        <f>'DA8'!H9-'DA8'!H10</f>
        <v>0</v>
      </c>
      <c r="D10" s="1087"/>
      <c r="E10" s="1087"/>
      <c r="F10" s="1087"/>
      <c r="G10" s="1087"/>
      <c r="H10" s="1087"/>
      <c r="I10" s="1087"/>
      <c r="J10" s="1087"/>
      <c r="K10" s="1087"/>
      <c r="L10" s="1087"/>
      <c r="M10" s="1088"/>
      <c r="N10" s="308"/>
      <c r="O10" s="164"/>
      <c r="P10" s="164"/>
      <c r="Q10" s="164"/>
      <c r="R10" s="164"/>
      <c r="S10" s="164"/>
      <c r="T10" s="164"/>
      <c r="U10" s="164"/>
      <c r="V10" s="164"/>
      <c r="W10" s="164"/>
      <c r="X10" s="164"/>
      <c r="Y10" s="164"/>
    </row>
    <row r="11" spans="1:25" s="306" customFormat="1" ht="33" x14ac:dyDescent="0.2">
      <c r="A11" s="164"/>
      <c r="B11" s="286" t="s">
        <v>576</v>
      </c>
      <c r="C11" s="1032" t="e">
        <f>'SITE SUMMARY'!G40</f>
        <v>#VALUE!</v>
      </c>
      <c r="D11" s="1032"/>
      <c r="E11" s="1032"/>
      <c r="F11" s="1032"/>
      <c r="G11" s="1032"/>
      <c r="H11" s="1032"/>
      <c r="I11" s="1032"/>
      <c r="J11" s="1032"/>
      <c r="K11" s="1032"/>
      <c r="L11" s="1032"/>
      <c r="M11" s="1033"/>
      <c r="N11" s="1035" t="s">
        <v>578</v>
      </c>
      <c r="O11" s="164"/>
      <c r="P11" s="164"/>
      <c r="Q11" s="164"/>
      <c r="R11" s="164"/>
      <c r="S11" s="164"/>
      <c r="T11" s="164"/>
      <c r="U11" s="164"/>
      <c r="V11" s="164"/>
      <c r="W11" s="164"/>
      <c r="X11" s="164"/>
      <c r="Y11" s="164"/>
    </row>
    <row r="12" spans="1:25" s="306" customFormat="1" ht="34.5" customHeight="1" x14ac:dyDescent="0.2">
      <c r="A12" s="164"/>
      <c r="B12" s="286" t="s">
        <v>683</v>
      </c>
      <c r="C12" s="1032" t="e">
        <f>IF('SITE SUMMARY'!G35="High",('DA8'!$D$80),0)</f>
        <v>#DIV/0!</v>
      </c>
      <c r="D12" s="1032" t="str">
        <f>IF($G$36="High",('DA1'!$D$80),"NA")</f>
        <v>NA</v>
      </c>
      <c r="E12" s="1032" t="str">
        <f>IF($G$36="High",('DA1'!$D$80),"NA")</f>
        <v>NA</v>
      </c>
      <c r="F12" s="1032" t="str">
        <f>IF($G$36="High",('DA1'!$D$80),"NA")</f>
        <v>NA</v>
      </c>
      <c r="G12" s="1032" t="str">
        <f>IF($G$36="High",('DA1'!$D$80),"NA")</f>
        <v>NA</v>
      </c>
      <c r="H12" s="1032" t="str">
        <f>IF($G$36="High",('DA1'!$D$80),"NA")</f>
        <v>NA</v>
      </c>
      <c r="I12" s="1032" t="str">
        <f>IF($G$36="High",('DA1'!$D$80),"NA")</f>
        <v>NA</v>
      </c>
      <c r="J12" s="1032" t="str">
        <f>IF($G$36="High",('DA1'!$D$80),"NA")</f>
        <v>NA</v>
      </c>
      <c r="K12" s="1032" t="str">
        <f>IF($G$36="High",('DA1'!$D$80),"NA")</f>
        <v>NA</v>
      </c>
      <c r="L12" s="1032" t="str">
        <f>IF($G$36="High",('DA1'!$D$80),"NA")</f>
        <v>NA</v>
      </c>
      <c r="M12" s="1033" t="str">
        <f>IF($G$36="High",('DA1'!$D$80),"NA")</f>
        <v>NA</v>
      </c>
      <c r="N12" s="1035"/>
      <c r="O12" s="164"/>
      <c r="P12" s="164"/>
      <c r="Q12" s="164"/>
      <c r="R12" s="164"/>
      <c r="S12" s="164"/>
      <c r="T12" s="164"/>
      <c r="U12" s="164"/>
      <c r="V12" s="164"/>
      <c r="W12" s="164"/>
      <c r="X12" s="164"/>
      <c r="Y12" s="164"/>
    </row>
    <row r="13" spans="1:25" s="306" customFormat="1" ht="60" x14ac:dyDescent="0.2">
      <c r="A13" s="164"/>
      <c r="B13" s="286" t="s">
        <v>583</v>
      </c>
      <c r="C13" s="364"/>
      <c r="D13" s="1038" t="s">
        <v>565</v>
      </c>
      <c r="E13" s="1039"/>
      <c r="F13" s="1039"/>
      <c r="G13" s="1026"/>
      <c r="H13" s="1027"/>
      <c r="I13" s="1028"/>
      <c r="J13" s="1029" t="s">
        <v>574</v>
      </c>
      <c r="K13" s="1030"/>
      <c r="L13" s="1030"/>
      <c r="M13" s="1031"/>
      <c r="N13" s="608" t="s">
        <v>684</v>
      </c>
      <c r="O13" s="164"/>
      <c r="P13" s="164"/>
      <c r="Q13" s="164"/>
      <c r="R13" s="164"/>
      <c r="S13" s="164"/>
      <c r="T13" s="164"/>
      <c r="U13" s="164"/>
      <c r="V13" s="164"/>
      <c r="W13" s="164"/>
      <c r="X13" s="164"/>
      <c r="Y13" s="164"/>
    </row>
    <row r="14" spans="1:25" s="306" customFormat="1" ht="24.95" customHeight="1" x14ac:dyDescent="0.2">
      <c r="A14" s="164"/>
      <c r="B14" s="1084" t="s">
        <v>320</v>
      </c>
      <c r="C14" s="1085"/>
      <c r="D14" s="1085"/>
      <c r="E14" s="1085"/>
      <c r="F14" s="1085"/>
      <c r="G14" s="1085"/>
      <c r="H14" s="1085"/>
      <c r="I14" s="1085"/>
      <c r="J14" s="1085"/>
      <c r="K14" s="1085"/>
      <c r="L14" s="1085"/>
      <c r="M14" s="1086"/>
      <c r="N14" s="368"/>
      <c r="O14" s="369"/>
      <c r="P14" s="369"/>
      <c r="Q14" s="369"/>
      <c r="R14" s="369"/>
      <c r="S14" s="369"/>
      <c r="T14" s="369"/>
      <c r="U14" s="164"/>
      <c r="V14" s="164"/>
      <c r="W14" s="164"/>
      <c r="X14" s="164"/>
      <c r="Y14" s="164"/>
    </row>
    <row r="15" spans="1:25" s="327" customFormat="1" ht="35.1" customHeight="1" x14ac:dyDescent="0.2">
      <c r="A15" s="326"/>
      <c r="B15" s="1089" t="s">
        <v>273</v>
      </c>
      <c r="C15" s="1090"/>
      <c r="D15" s="1093" t="s">
        <v>685</v>
      </c>
      <c r="E15" s="1093"/>
      <c r="F15" s="1093" t="s">
        <v>686</v>
      </c>
      <c r="G15" s="1093"/>
      <c r="H15" s="1093" t="s">
        <v>687</v>
      </c>
      <c r="I15" s="1093"/>
      <c r="J15" s="1093" t="s">
        <v>688</v>
      </c>
      <c r="K15" s="1093"/>
      <c r="L15" s="1093" t="s">
        <v>689</v>
      </c>
      <c r="M15" s="1115"/>
      <c r="N15" s="1119" t="s">
        <v>741</v>
      </c>
      <c r="O15" s="326"/>
      <c r="P15" s="326"/>
      <c r="Q15" s="326"/>
      <c r="R15" s="326"/>
      <c r="S15" s="326"/>
      <c r="T15" s="326"/>
      <c r="U15" s="326"/>
      <c r="V15" s="326"/>
      <c r="W15" s="326"/>
      <c r="X15" s="326"/>
      <c r="Y15" s="326"/>
    </row>
    <row r="16" spans="1:25" s="327" customFormat="1" x14ac:dyDescent="0.2">
      <c r="A16" s="326"/>
      <c r="B16" s="1089"/>
      <c r="C16" s="1090"/>
      <c r="D16" s="131" t="s">
        <v>281</v>
      </c>
      <c r="E16" s="131" t="s">
        <v>282</v>
      </c>
      <c r="F16" s="131" t="s">
        <v>281</v>
      </c>
      <c r="G16" s="131" t="s">
        <v>282</v>
      </c>
      <c r="H16" s="131" t="s">
        <v>281</v>
      </c>
      <c r="I16" s="131" t="s">
        <v>282</v>
      </c>
      <c r="J16" s="131" t="s">
        <v>281</v>
      </c>
      <c r="K16" s="131" t="s">
        <v>282</v>
      </c>
      <c r="L16" s="131" t="s">
        <v>281</v>
      </c>
      <c r="M16" s="240" t="s">
        <v>282</v>
      </c>
      <c r="N16" s="1119"/>
      <c r="O16" s="326"/>
      <c r="P16" s="326"/>
      <c r="Q16" s="326"/>
      <c r="R16" s="326"/>
      <c r="S16" s="326"/>
      <c r="T16" s="326"/>
      <c r="U16" s="326"/>
      <c r="V16" s="326"/>
      <c r="W16" s="326"/>
      <c r="X16" s="326"/>
      <c r="Y16" s="326"/>
    </row>
    <row r="17" spans="1:25" s="327" customFormat="1" ht="24.95" customHeight="1" x14ac:dyDescent="0.2">
      <c r="A17" s="326"/>
      <c r="B17" s="1091" t="s">
        <v>12</v>
      </c>
      <c r="C17" s="1092"/>
      <c r="D17" s="364"/>
      <c r="E17" s="364"/>
      <c r="F17" s="364"/>
      <c r="G17" s="364"/>
      <c r="H17" s="364"/>
      <c r="I17" s="364"/>
      <c r="J17" s="364"/>
      <c r="K17" s="364"/>
      <c r="L17" s="364"/>
      <c r="M17" s="365"/>
      <c r="N17" s="1119"/>
      <c r="O17" s="326"/>
      <c r="P17" s="326"/>
      <c r="Q17" s="326"/>
      <c r="R17" s="326"/>
      <c r="S17" s="326"/>
      <c r="T17" s="326"/>
      <c r="U17" s="326"/>
      <c r="V17" s="326"/>
      <c r="W17" s="326"/>
      <c r="X17" s="326"/>
      <c r="Y17" s="326"/>
    </row>
    <row r="18" spans="1:25" s="327" customFormat="1" ht="24.95" customHeight="1" x14ac:dyDescent="0.2">
      <c r="A18" s="326"/>
      <c r="B18" s="1091" t="s">
        <v>253</v>
      </c>
      <c r="C18" s="1092"/>
      <c r="D18" s="364"/>
      <c r="E18" s="364"/>
      <c r="F18" s="364"/>
      <c r="G18" s="364"/>
      <c r="H18" s="364"/>
      <c r="I18" s="364"/>
      <c r="J18" s="364"/>
      <c r="K18" s="364"/>
      <c r="L18" s="364"/>
      <c r="M18" s="365"/>
      <c r="N18" s="1119"/>
      <c r="O18" s="326"/>
      <c r="P18" s="326"/>
      <c r="Q18" s="326"/>
      <c r="R18" s="326"/>
      <c r="S18" s="326"/>
      <c r="T18" s="326"/>
      <c r="U18" s="326"/>
      <c r="V18" s="326"/>
      <c r="W18" s="326"/>
      <c r="X18" s="326"/>
      <c r="Y18" s="326"/>
    </row>
    <row r="19" spans="1:25" s="327" customFormat="1" ht="24.95" customHeight="1" x14ac:dyDescent="0.2">
      <c r="A19" s="326"/>
      <c r="B19" s="1091" t="s">
        <v>260</v>
      </c>
      <c r="C19" s="1092"/>
      <c r="D19" s="364"/>
      <c r="E19" s="364"/>
      <c r="F19" s="364"/>
      <c r="G19" s="364"/>
      <c r="H19" s="364"/>
      <c r="I19" s="364"/>
      <c r="J19" s="364"/>
      <c r="K19" s="364"/>
      <c r="L19" s="364"/>
      <c r="M19" s="365"/>
      <c r="N19" s="1119"/>
      <c r="O19" s="326"/>
      <c r="P19" s="326"/>
      <c r="Q19" s="326"/>
      <c r="R19" s="326"/>
      <c r="S19" s="326"/>
      <c r="T19" s="326"/>
      <c r="U19" s="326"/>
      <c r="V19" s="326"/>
      <c r="W19" s="326"/>
      <c r="X19" s="326"/>
      <c r="Y19" s="326"/>
    </row>
    <row r="20" spans="1:25" s="327" customFormat="1" ht="24.95" customHeight="1" x14ac:dyDescent="0.2">
      <c r="A20" s="326"/>
      <c r="B20" s="1091" t="s">
        <v>254</v>
      </c>
      <c r="C20" s="1092"/>
      <c r="D20" s="364"/>
      <c r="E20" s="364"/>
      <c r="F20" s="364"/>
      <c r="G20" s="364"/>
      <c r="H20" s="364"/>
      <c r="I20" s="364"/>
      <c r="J20" s="364"/>
      <c r="K20" s="364"/>
      <c r="L20" s="364"/>
      <c r="M20" s="365"/>
      <c r="N20" s="1119"/>
      <c r="O20" s="326"/>
      <c r="P20" s="326"/>
      <c r="Q20" s="326"/>
      <c r="R20" s="326"/>
      <c r="S20" s="326"/>
      <c r="T20" s="326"/>
      <c r="U20" s="326"/>
      <c r="V20" s="326"/>
      <c r="W20" s="326"/>
      <c r="X20" s="326"/>
      <c r="Y20" s="326"/>
    </row>
    <row r="21" spans="1:25" s="327" customFormat="1" ht="24.95" customHeight="1" x14ac:dyDescent="0.2">
      <c r="A21" s="326"/>
      <c r="B21" s="1091" t="s">
        <v>255</v>
      </c>
      <c r="C21" s="1092"/>
      <c r="D21" s="364"/>
      <c r="E21" s="364"/>
      <c r="F21" s="364"/>
      <c r="G21" s="364"/>
      <c r="H21" s="364"/>
      <c r="I21" s="364"/>
      <c r="J21" s="364"/>
      <c r="K21" s="364"/>
      <c r="L21" s="364"/>
      <c r="M21" s="365"/>
      <c r="N21" s="1119"/>
      <c r="O21" s="326"/>
      <c r="P21" s="326"/>
      <c r="Q21" s="326"/>
      <c r="R21" s="326"/>
      <c r="S21" s="326"/>
      <c r="T21" s="326"/>
      <c r="U21" s="326"/>
      <c r="V21" s="326"/>
      <c r="W21" s="326"/>
      <c r="X21" s="326"/>
      <c r="Y21" s="326"/>
    </row>
    <row r="22" spans="1:25" ht="24.95" customHeight="1" x14ac:dyDescent="0.2">
      <c r="B22" s="1091" t="s">
        <v>256</v>
      </c>
      <c r="C22" s="1092"/>
      <c r="D22" s="364"/>
      <c r="E22" s="364"/>
      <c r="F22" s="364"/>
      <c r="G22" s="364"/>
      <c r="H22" s="364"/>
      <c r="I22" s="364"/>
      <c r="J22" s="364"/>
      <c r="K22" s="364"/>
      <c r="L22" s="364"/>
      <c r="M22" s="365"/>
      <c r="N22" s="1119"/>
    </row>
    <row r="23" spans="1:25" ht="24.95" customHeight="1" x14ac:dyDescent="0.2">
      <c r="B23" s="1091" t="s">
        <v>257</v>
      </c>
      <c r="C23" s="1092"/>
      <c r="D23" s="364"/>
      <c r="E23" s="364"/>
      <c r="F23" s="364"/>
      <c r="G23" s="364"/>
      <c r="H23" s="364"/>
      <c r="I23" s="364"/>
      <c r="J23" s="364"/>
      <c r="K23" s="364"/>
      <c r="L23" s="364"/>
      <c r="M23" s="365"/>
      <c r="N23" s="370"/>
    </row>
    <row r="24" spans="1:25" ht="24.95" customHeight="1" x14ac:dyDescent="0.2">
      <c r="B24" s="1091" t="s">
        <v>245</v>
      </c>
      <c r="C24" s="1092"/>
      <c r="D24" s="364"/>
      <c r="E24" s="364"/>
      <c r="F24" s="364"/>
      <c r="G24" s="364"/>
      <c r="H24" s="364"/>
      <c r="I24" s="364"/>
      <c r="J24" s="364"/>
      <c r="K24" s="364"/>
      <c r="L24" s="364"/>
      <c r="M24" s="365"/>
      <c r="N24" s="370"/>
    </row>
    <row r="25" spans="1:25" ht="24.95" customHeight="1" x14ac:dyDescent="0.2">
      <c r="B25" s="1091" t="s">
        <v>44</v>
      </c>
      <c r="C25" s="1092"/>
      <c r="D25" s="364"/>
      <c r="E25" s="364"/>
      <c r="F25" s="364"/>
      <c r="G25" s="364"/>
      <c r="H25" s="364"/>
      <c r="I25" s="364"/>
      <c r="J25" s="364"/>
      <c r="K25" s="364"/>
      <c r="L25" s="364"/>
      <c r="M25" s="365"/>
      <c r="N25" s="446" t="str">
        <f>IF(SUM( D17:D25,F17:F25,H17:H25,J17:J25,L17:L25)=C9,"","DOES NOT MATCH SITE ACREAGES")</f>
        <v/>
      </c>
    </row>
    <row r="26" spans="1:25" s="373" customFormat="1" ht="15.75" hidden="1" x14ac:dyDescent="0.25">
      <c r="A26" s="574"/>
      <c r="B26" s="371" t="s">
        <v>291</v>
      </c>
      <c r="C26" s="372"/>
      <c r="D26" s="315">
        <f>SUM(D17:D25)</f>
        <v>0</v>
      </c>
      <c r="E26" s="315">
        <f t="shared" ref="E26:M26" si="0">SUM(E17:E25)</f>
        <v>0</v>
      </c>
      <c r="F26" s="315">
        <f t="shared" si="0"/>
        <v>0</v>
      </c>
      <c r="G26" s="315">
        <f t="shared" si="0"/>
        <v>0</v>
      </c>
      <c r="H26" s="315">
        <f t="shared" si="0"/>
        <v>0</v>
      </c>
      <c r="I26" s="315">
        <f t="shared" si="0"/>
        <v>0</v>
      </c>
      <c r="J26" s="315">
        <f t="shared" si="0"/>
        <v>0</v>
      </c>
      <c r="K26" s="315">
        <f t="shared" si="0"/>
        <v>0</v>
      </c>
      <c r="L26" s="315">
        <f t="shared" si="0"/>
        <v>0</v>
      </c>
      <c r="M26" s="316">
        <f t="shared" si="0"/>
        <v>0</v>
      </c>
      <c r="N26" s="330"/>
      <c r="O26" s="574"/>
      <c r="P26" s="574"/>
      <c r="Q26" s="574"/>
      <c r="R26" s="574"/>
      <c r="S26" s="574"/>
      <c r="T26" s="574"/>
      <c r="U26" s="574"/>
      <c r="V26" s="574"/>
      <c r="W26" s="574"/>
      <c r="X26" s="574"/>
      <c r="Y26" s="574"/>
    </row>
    <row r="27" spans="1:25" s="306" customFormat="1" ht="15.75" x14ac:dyDescent="0.2">
      <c r="A27" s="164"/>
      <c r="B27" s="953" t="s">
        <v>286</v>
      </c>
      <c r="C27" s="954"/>
      <c r="D27" s="954"/>
      <c r="E27" s="954"/>
      <c r="F27" s="954"/>
      <c r="G27" s="954"/>
      <c r="H27" s="954"/>
      <c r="I27" s="954"/>
      <c r="J27" s="954"/>
      <c r="K27" s="954"/>
      <c r="L27" s="954"/>
      <c r="M27" s="955"/>
      <c r="N27" s="324"/>
      <c r="O27" s="164"/>
      <c r="P27" s="164"/>
      <c r="Q27" s="164"/>
      <c r="R27" s="164"/>
      <c r="S27" s="164"/>
      <c r="T27" s="164"/>
      <c r="U27" s="164"/>
      <c r="V27" s="164"/>
      <c r="W27" s="164"/>
      <c r="X27" s="164"/>
      <c r="Y27" s="164"/>
    </row>
    <row r="28" spans="1:25" s="507" customFormat="1" ht="79.5" customHeight="1" x14ac:dyDescent="0.2">
      <c r="B28" s="374" t="s">
        <v>318</v>
      </c>
      <c r="C28" s="375" t="s">
        <v>284</v>
      </c>
      <c r="D28" s="1034" t="s">
        <v>568</v>
      </c>
      <c r="E28" s="1034"/>
      <c r="F28" s="1034"/>
      <c r="G28" s="1040" t="s">
        <v>567</v>
      </c>
      <c r="H28" s="1041"/>
      <c r="I28" s="1042"/>
      <c r="J28" s="631" t="s">
        <v>269</v>
      </c>
      <c r="K28" s="631" t="s">
        <v>491</v>
      </c>
      <c r="L28" s="631" t="s">
        <v>492</v>
      </c>
      <c r="M28" s="376" t="s">
        <v>322</v>
      </c>
      <c r="N28" s="377" t="s">
        <v>321</v>
      </c>
    </row>
    <row r="29" spans="1:25" ht="24.95" customHeight="1" x14ac:dyDescent="0.2">
      <c r="B29" s="562"/>
      <c r="C29" s="400"/>
      <c r="D29" s="1043" t="e">
        <f>IF('SITE SUMMARY'!$G$35="High",E151,"-")</f>
        <v>#DIV/0!</v>
      </c>
      <c r="E29" s="1044"/>
      <c r="F29" s="1045"/>
      <c r="G29" s="1120"/>
      <c r="H29" s="1121"/>
      <c r="I29" s="1122"/>
      <c r="J29" s="378">
        <f>IF(ISERROR(VLOOKUP(C29,BMP,2,FALSE)),0,VLOOKUP(C29,BMP,2,FALSE))</f>
        <v>0</v>
      </c>
      <c r="K29" s="625">
        <f>IF(ISERROR($E$114),0,$E$114)</f>
        <v>0</v>
      </c>
      <c r="L29" s="625">
        <f>IF(ISERROR(K29*J29),0,K29*J29)</f>
        <v>0</v>
      </c>
      <c r="M29" s="401"/>
      <c r="N29" s="377"/>
      <c r="O29" s="379"/>
      <c r="P29" s="379"/>
      <c r="Q29" s="379"/>
      <c r="R29" s="379"/>
      <c r="S29" s="379"/>
      <c r="T29" s="379"/>
    </row>
    <row r="30" spans="1:25" ht="24.95" customHeight="1" x14ac:dyDescent="0.2">
      <c r="B30" s="563"/>
      <c r="C30" s="400"/>
      <c r="D30" s="1046"/>
      <c r="E30" s="1047"/>
      <c r="F30" s="1048"/>
      <c r="G30" s="1123"/>
      <c r="H30" s="1124"/>
      <c r="I30" s="1125"/>
      <c r="J30" s="378">
        <f>IF(ISERROR(VLOOKUP(C30,BMP,2,FALSE)),0,VLOOKUP(C30,BMP,2,FALSE))</f>
        <v>0</v>
      </c>
      <c r="K30" s="625">
        <f>IF(ISERROR(K29-L29),0,K29-L29)</f>
        <v>0</v>
      </c>
      <c r="L30" s="625">
        <f>IF(ISERROR(K30*J30),0,K30*J30)</f>
        <v>0</v>
      </c>
      <c r="M30" s="401"/>
      <c r="N30" s="380"/>
    </row>
    <row r="31" spans="1:25" ht="24.95" customHeight="1" x14ac:dyDescent="0.2">
      <c r="B31" s="563"/>
      <c r="C31" s="400"/>
      <c r="D31" s="1046"/>
      <c r="E31" s="1047"/>
      <c r="F31" s="1048"/>
      <c r="G31" s="1123"/>
      <c r="H31" s="1124"/>
      <c r="I31" s="1125"/>
      <c r="J31" s="378">
        <f>IF(ISERROR(VLOOKUP(C31,BMP,2,FALSE)),0,VLOOKUP(C31,BMP,2,FALSE))</f>
        <v>0</v>
      </c>
      <c r="K31" s="625">
        <f>IF(ISERROR(K30-L30),0,K30-L30)</f>
        <v>0</v>
      </c>
      <c r="L31" s="625">
        <f>IF(ISERROR(K31*J31),0,K31*J31)</f>
        <v>0</v>
      </c>
      <c r="M31" s="401"/>
      <c r="N31" s="380"/>
    </row>
    <row r="32" spans="1:25" ht="24.95" customHeight="1" x14ac:dyDescent="0.2">
      <c r="B32" s="563"/>
      <c r="C32" s="400"/>
      <c r="D32" s="1046"/>
      <c r="E32" s="1047"/>
      <c r="F32" s="1048"/>
      <c r="G32" s="1123"/>
      <c r="H32" s="1124"/>
      <c r="I32" s="1125"/>
      <c r="J32" s="378">
        <f>IF(ISERROR(VLOOKUP(C32,BMP,2,FALSE)),0,VLOOKUP(C32,BMP,2,FALSE))</f>
        <v>0</v>
      </c>
      <c r="K32" s="625">
        <f>IF(ISERROR(K31-L31),0,K31-L31)</f>
        <v>0</v>
      </c>
      <c r="L32" s="625">
        <f>IF(ISERROR(K32*J32),0,K32*J32)</f>
        <v>0</v>
      </c>
      <c r="M32" s="401"/>
      <c r="N32" s="380"/>
    </row>
    <row r="33" spans="1:25" ht="24.95" customHeight="1" x14ac:dyDescent="0.2">
      <c r="B33" s="563"/>
      <c r="C33" s="400"/>
      <c r="D33" s="1049"/>
      <c r="E33" s="1050"/>
      <c r="F33" s="1051"/>
      <c r="G33" s="1126"/>
      <c r="H33" s="1127"/>
      <c r="I33" s="1128"/>
      <c r="J33" s="378">
        <f>IF(ISERROR(VLOOKUP(C33,BMP,2,FALSE)),0,VLOOKUP(C33,BMP,2,FALSE))</f>
        <v>0</v>
      </c>
      <c r="K33" s="625">
        <f>IF(ISERROR(K32-L32),0,K32-L32)</f>
        <v>0</v>
      </c>
      <c r="L33" s="625">
        <f>IF(ISERROR(K33*J33),0,K33*J33)</f>
        <v>0</v>
      </c>
      <c r="M33" s="401"/>
      <c r="N33" s="381"/>
    </row>
    <row r="34" spans="1:25" ht="24.95" customHeight="1" x14ac:dyDescent="0.2">
      <c r="B34" s="1052" t="s">
        <v>371</v>
      </c>
      <c r="C34" s="1053"/>
      <c r="D34" s="1054">
        <f>IF(J33&gt;0,K306-L33,IF(J32&gt;0,K32-L32,IF(J31&gt;0,K31-L31,IF(J30&gt;0,K30-L30,K29-L29))))</f>
        <v>0</v>
      </c>
      <c r="E34" s="1055"/>
      <c r="F34" s="1055"/>
      <c r="G34" s="1055"/>
      <c r="H34" s="1055"/>
      <c r="I34" s="1055"/>
      <c r="J34" s="1055"/>
      <c r="K34" s="1055"/>
      <c r="L34" s="1055"/>
      <c r="M34" s="1056"/>
      <c r="N34" s="382"/>
    </row>
    <row r="35" spans="1:25" s="306" customFormat="1" ht="24.95" customHeight="1" x14ac:dyDescent="0.2">
      <c r="A35" s="164"/>
      <c r="B35" s="953" t="s">
        <v>285</v>
      </c>
      <c r="C35" s="954"/>
      <c r="D35" s="954"/>
      <c r="E35" s="954"/>
      <c r="F35" s="954"/>
      <c r="G35" s="954"/>
      <c r="H35" s="954"/>
      <c r="I35" s="954"/>
      <c r="J35" s="954"/>
      <c r="K35" s="954"/>
      <c r="L35" s="954"/>
      <c r="M35" s="955"/>
      <c r="N35" s="382"/>
      <c r="O35" s="164"/>
      <c r="P35" s="164"/>
      <c r="Q35" s="164"/>
      <c r="R35" s="164"/>
      <c r="S35" s="164"/>
      <c r="T35" s="164"/>
      <c r="U35" s="164"/>
      <c r="V35" s="164"/>
      <c r="W35" s="164"/>
      <c r="X35" s="164"/>
      <c r="Y35" s="164"/>
    </row>
    <row r="36" spans="1:25" s="507" customFormat="1" ht="39.75" customHeight="1" x14ac:dyDescent="0.2">
      <c r="B36" s="1019" t="s">
        <v>584</v>
      </c>
      <c r="C36" s="1020"/>
      <c r="D36" s="1057"/>
      <c r="E36" s="1058"/>
      <c r="F36" s="1058"/>
      <c r="G36" s="1058"/>
      <c r="H36" s="1058"/>
      <c r="I36" s="1058"/>
      <c r="J36" s="1058"/>
      <c r="K36" s="1058"/>
      <c r="L36" s="1058"/>
      <c r="M36" s="1059"/>
      <c r="N36" s="382"/>
    </row>
    <row r="37" spans="1:25" s="507" customFormat="1" ht="39.75" hidden="1" customHeight="1" x14ac:dyDescent="0.2">
      <c r="B37" s="1019" t="s">
        <v>585</v>
      </c>
      <c r="C37" s="1020"/>
      <c r="D37" s="1129"/>
      <c r="E37" s="1130"/>
      <c r="F37" s="1130"/>
      <c r="G37" s="1130"/>
      <c r="H37" s="1130"/>
      <c r="I37" s="1130"/>
      <c r="J37" s="1130"/>
      <c r="K37" s="1130"/>
      <c r="L37" s="1130"/>
      <c r="M37" s="1131"/>
      <c r="N37" s="382"/>
    </row>
    <row r="38" spans="1:25" s="507" customFormat="1" ht="79.5" customHeight="1" x14ac:dyDescent="0.2">
      <c r="B38" s="374" t="s">
        <v>318</v>
      </c>
      <c r="C38" s="375" t="s">
        <v>284</v>
      </c>
      <c r="D38" s="1034" t="s">
        <v>568</v>
      </c>
      <c r="E38" s="1034"/>
      <c r="F38" s="1034"/>
      <c r="G38" s="1034" t="s">
        <v>490</v>
      </c>
      <c r="H38" s="1034"/>
      <c r="I38" s="1034"/>
      <c r="J38" s="631" t="s">
        <v>269</v>
      </c>
      <c r="K38" s="631" t="s">
        <v>491</v>
      </c>
      <c r="L38" s="631" t="s">
        <v>492</v>
      </c>
      <c r="M38" s="376" t="s">
        <v>322</v>
      </c>
      <c r="N38" s="382"/>
    </row>
    <row r="39" spans="1:25" ht="24.95" customHeight="1" x14ac:dyDescent="0.2">
      <c r="B39" s="399"/>
      <c r="C39" s="400"/>
      <c r="D39" s="1043" t="e">
        <f>IF('SITE SUMMARY'!$G$35="High",E155,"-")</f>
        <v>#DIV/0!</v>
      </c>
      <c r="E39" s="1044"/>
      <c r="F39" s="1045"/>
      <c r="G39" s="1060"/>
      <c r="H39" s="1061"/>
      <c r="I39" s="1062"/>
      <c r="J39" s="378">
        <f>IF(ISERROR(VLOOKUP(C39,BMP,2,FALSE)),0,VLOOKUP(C39,BMP,2,FALSE))</f>
        <v>0</v>
      </c>
      <c r="K39" s="625">
        <f>IF(ISERROR($F$114),D36,$F$114+D36)</f>
        <v>0</v>
      </c>
      <c r="L39" s="625">
        <f>IF(ISERROR(K39*J39),0,K39*J39)</f>
        <v>0</v>
      </c>
      <c r="M39" s="401"/>
      <c r="N39" s="382"/>
      <c r="O39" s="379"/>
      <c r="P39" s="379"/>
      <c r="Q39" s="379"/>
      <c r="R39" s="379"/>
      <c r="S39" s="379"/>
      <c r="T39" s="379"/>
    </row>
    <row r="40" spans="1:25" ht="24.95" customHeight="1" x14ac:dyDescent="0.2">
      <c r="B40" s="399"/>
      <c r="C40" s="400"/>
      <c r="D40" s="1046"/>
      <c r="E40" s="1047"/>
      <c r="F40" s="1048"/>
      <c r="G40" s="1063"/>
      <c r="H40" s="1064"/>
      <c r="I40" s="1065"/>
      <c r="J40" s="378">
        <f>IF(ISERROR(VLOOKUP(C40,BMP,2,FALSE)),0,VLOOKUP(C40,BMP,2,FALSE))</f>
        <v>0</v>
      </c>
      <c r="K40" s="625">
        <f>IF(ISERROR(K39-L39),0,K39-L39)</f>
        <v>0</v>
      </c>
      <c r="L40" s="625">
        <f>IF(ISERROR(K40*J40),0,K40*J40)</f>
        <v>0</v>
      </c>
      <c r="M40" s="401"/>
      <c r="N40" s="382"/>
    </row>
    <row r="41" spans="1:25" ht="24.75" customHeight="1" x14ac:dyDescent="0.2">
      <c r="B41" s="399"/>
      <c r="C41" s="400"/>
      <c r="D41" s="1046"/>
      <c r="E41" s="1047"/>
      <c r="F41" s="1048"/>
      <c r="G41" s="1063"/>
      <c r="H41" s="1064"/>
      <c r="I41" s="1065"/>
      <c r="J41" s="378">
        <f>IF(ISERROR(VLOOKUP(C41,BMP,2,FALSE)),0,VLOOKUP(C41,BMP,2,FALSE))</f>
        <v>0</v>
      </c>
      <c r="K41" s="625">
        <f>IF(ISERROR(K40-L40),0,K40-L40)</f>
        <v>0</v>
      </c>
      <c r="L41" s="625">
        <f>IF(ISERROR(K41*J41),0,K41*J41)</f>
        <v>0</v>
      </c>
      <c r="M41" s="401"/>
      <c r="N41" s="382"/>
    </row>
    <row r="42" spans="1:25" ht="24.95" customHeight="1" x14ac:dyDescent="0.2">
      <c r="B42" s="399"/>
      <c r="C42" s="400"/>
      <c r="D42" s="1046"/>
      <c r="E42" s="1047"/>
      <c r="F42" s="1048"/>
      <c r="G42" s="1063"/>
      <c r="H42" s="1064"/>
      <c r="I42" s="1065"/>
      <c r="J42" s="378">
        <f>IF(ISERROR(VLOOKUP(C42,BMP,2,FALSE)),0,VLOOKUP(C42,BMP,2,FALSE))</f>
        <v>0</v>
      </c>
      <c r="K42" s="625">
        <f>IF(ISERROR(K41-L41),0,K41-L41)</f>
        <v>0</v>
      </c>
      <c r="L42" s="625">
        <f>IF(ISERROR(K42*J42),0,K42*J42)</f>
        <v>0</v>
      </c>
      <c r="M42" s="401"/>
      <c r="N42" s="382"/>
    </row>
    <row r="43" spans="1:25" ht="24.95" customHeight="1" x14ac:dyDescent="0.2">
      <c r="B43" s="399"/>
      <c r="C43" s="400"/>
      <c r="D43" s="1049"/>
      <c r="E43" s="1050"/>
      <c r="F43" s="1051"/>
      <c r="G43" s="1066"/>
      <c r="H43" s="1067"/>
      <c r="I43" s="1068"/>
      <c r="J43" s="378">
        <f>IF(ISERROR(VLOOKUP(C43,BMP,2,FALSE)),0,VLOOKUP(C43,BMP,2,FALSE))</f>
        <v>0</v>
      </c>
      <c r="K43" s="625">
        <f>IF(ISERROR(K42-L42),0,K42-L42)</f>
        <v>0</v>
      </c>
      <c r="L43" s="625">
        <f>IF(ISERROR(K43*J43),0,K43*J43)</f>
        <v>0</v>
      </c>
      <c r="M43" s="401"/>
      <c r="N43" s="381"/>
    </row>
    <row r="44" spans="1:25" ht="24.95" customHeight="1" x14ac:dyDescent="0.2">
      <c r="B44" s="1052" t="s">
        <v>371</v>
      </c>
      <c r="C44" s="1053"/>
      <c r="D44" s="1054">
        <f>IF(J43&gt;0,K43-L43,IF(J42&gt;0,K42-L42,IF(J41&gt;0,K41-L41,IF(J40&gt;0,K40-L40,K39-L39))))</f>
        <v>0</v>
      </c>
      <c r="E44" s="1055"/>
      <c r="F44" s="1055"/>
      <c r="G44" s="1055"/>
      <c r="H44" s="1055"/>
      <c r="I44" s="1055"/>
      <c r="J44" s="1055"/>
      <c r="K44" s="1055"/>
      <c r="L44" s="1055"/>
      <c r="M44" s="1056"/>
      <c r="N44" s="382"/>
    </row>
    <row r="45" spans="1:25" s="306" customFormat="1" ht="24.95" customHeight="1" x14ac:dyDescent="0.2">
      <c r="A45" s="164"/>
      <c r="B45" s="953" t="s">
        <v>298</v>
      </c>
      <c r="C45" s="954"/>
      <c r="D45" s="954"/>
      <c r="E45" s="954"/>
      <c r="F45" s="954"/>
      <c r="G45" s="954"/>
      <c r="H45" s="954"/>
      <c r="I45" s="954"/>
      <c r="J45" s="954"/>
      <c r="K45" s="954"/>
      <c r="L45" s="954"/>
      <c r="M45" s="955"/>
      <c r="N45" s="382"/>
      <c r="O45" s="164"/>
      <c r="P45" s="164"/>
      <c r="Q45" s="164"/>
      <c r="R45" s="164"/>
      <c r="S45" s="164"/>
      <c r="T45" s="164"/>
      <c r="U45" s="164"/>
      <c r="V45" s="164"/>
      <c r="W45" s="164"/>
      <c r="X45" s="164"/>
      <c r="Y45" s="164"/>
    </row>
    <row r="46" spans="1:25" s="507" customFormat="1" ht="39.950000000000003" customHeight="1" x14ac:dyDescent="0.2">
      <c r="B46" s="1019" t="s">
        <v>586</v>
      </c>
      <c r="C46" s="1020"/>
      <c r="D46" s="1057"/>
      <c r="E46" s="1058"/>
      <c r="F46" s="1058"/>
      <c r="G46" s="1058"/>
      <c r="H46" s="1058"/>
      <c r="I46" s="1058"/>
      <c r="J46" s="1058"/>
      <c r="K46" s="1058"/>
      <c r="L46" s="1058"/>
      <c r="M46" s="1059"/>
      <c r="N46" s="382"/>
    </row>
    <row r="47" spans="1:25" s="507" customFormat="1" ht="39.950000000000003" hidden="1" customHeight="1" x14ac:dyDescent="0.2">
      <c r="B47" s="1019" t="s">
        <v>587</v>
      </c>
      <c r="C47" s="1020"/>
      <c r="D47" s="1129"/>
      <c r="E47" s="1130"/>
      <c r="F47" s="1130"/>
      <c r="G47" s="1130"/>
      <c r="H47" s="1130"/>
      <c r="I47" s="1130"/>
      <c r="J47" s="1130"/>
      <c r="K47" s="1130"/>
      <c r="L47" s="1130"/>
      <c r="M47" s="1131"/>
      <c r="N47" s="382"/>
    </row>
    <row r="48" spans="1:25" s="507" customFormat="1" ht="79.5" customHeight="1" x14ac:dyDescent="0.2">
      <c r="B48" s="374" t="s">
        <v>318</v>
      </c>
      <c r="C48" s="375" t="s">
        <v>284</v>
      </c>
      <c r="D48" s="1034" t="s">
        <v>568</v>
      </c>
      <c r="E48" s="1034"/>
      <c r="F48" s="1034"/>
      <c r="G48" s="1040" t="s">
        <v>490</v>
      </c>
      <c r="H48" s="1041"/>
      <c r="I48" s="1042"/>
      <c r="J48" s="631" t="s">
        <v>269</v>
      </c>
      <c r="K48" s="631" t="s">
        <v>491</v>
      </c>
      <c r="L48" s="631" t="s">
        <v>492</v>
      </c>
      <c r="M48" s="376" t="s">
        <v>322</v>
      </c>
      <c r="N48" s="382"/>
    </row>
    <row r="49" spans="1:25" ht="24.95" customHeight="1" x14ac:dyDescent="0.2">
      <c r="B49" s="399"/>
      <c r="C49" s="400"/>
      <c r="D49" s="1043" t="e">
        <f>IF('SITE SUMMARY'!$G$35="High",E159,"-")</f>
        <v>#DIV/0!</v>
      </c>
      <c r="E49" s="1044"/>
      <c r="F49" s="1045"/>
      <c r="G49" s="1060"/>
      <c r="H49" s="1061"/>
      <c r="I49" s="1062"/>
      <c r="J49" s="378">
        <f>IF(ISERROR(VLOOKUP(C49,BMP,2,FALSE)),0,VLOOKUP(C49,BMP,2,FALSE))</f>
        <v>0</v>
      </c>
      <c r="K49" s="625">
        <f>IF(ISERROR($G$114),D46,$G$114+D46)</f>
        <v>0</v>
      </c>
      <c r="L49" s="625">
        <f>IF(ISERROR(K49*J49),0,K49*J49)</f>
        <v>0</v>
      </c>
      <c r="M49" s="401"/>
      <c r="N49" s="382"/>
      <c r="O49" s="379"/>
      <c r="P49" s="379"/>
      <c r="Q49" s="379"/>
      <c r="R49" s="379"/>
      <c r="S49" s="379"/>
      <c r="T49" s="379"/>
    </row>
    <row r="50" spans="1:25" ht="24.95" customHeight="1" x14ac:dyDescent="0.2">
      <c r="B50" s="399"/>
      <c r="C50" s="400"/>
      <c r="D50" s="1046"/>
      <c r="E50" s="1047"/>
      <c r="F50" s="1048"/>
      <c r="G50" s="1063"/>
      <c r="H50" s="1064"/>
      <c r="I50" s="1065"/>
      <c r="J50" s="378">
        <f>IF(ISERROR(VLOOKUP(C50,BMP,2,FALSE)),0,VLOOKUP(C50,BMP,2,FALSE))</f>
        <v>0</v>
      </c>
      <c r="K50" s="625">
        <f>IF(ISERROR(K49-L49),0,K49-L49)</f>
        <v>0</v>
      </c>
      <c r="L50" s="625">
        <f>IF(ISERROR(K50*J50),0,K50*J50)</f>
        <v>0</v>
      </c>
      <c r="M50" s="401"/>
      <c r="N50" s="382"/>
    </row>
    <row r="51" spans="1:25" ht="24.95" customHeight="1" x14ac:dyDescent="0.2">
      <c r="B51" s="399"/>
      <c r="C51" s="400"/>
      <c r="D51" s="1046"/>
      <c r="E51" s="1047"/>
      <c r="F51" s="1048"/>
      <c r="G51" s="1063"/>
      <c r="H51" s="1064"/>
      <c r="I51" s="1065"/>
      <c r="J51" s="378">
        <f>IF(ISERROR(VLOOKUP(C51,BMP,2,FALSE)),0,VLOOKUP(C51,BMP,2,FALSE))</f>
        <v>0</v>
      </c>
      <c r="K51" s="625">
        <f>IF(ISERROR(K50-L50),0,K50-L50)</f>
        <v>0</v>
      </c>
      <c r="L51" s="625">
        <f>IF(ISERROR(K51*J51),0,K51*J51)</f>
        <v>0</v>
      </c>
      <c r="M51" s="401"/>
      <c r="N51" s="382"/>
    </row>
    <row r="52" spans="1:25" ht="24.95" customHeight="1" x14ac:dyDescent="0.2">
      <c r="B52" s="399"/>
      <c r="C52" s="400"/>
      <c r="D52" s="1046"/>
      <c r="E52" s="1047"/>
      <c r="F52" s="1048"/>
      <c r="G52" s="1063"/>
      <c r="H52" s="1064"/>
      <c r="I52" s="1065"/>
      <c r="J52" s="378">
        <f>IF(ISERROR(VLOOKUP(C52,BMP,2,FALSE)),0,VLOOKUP(C52,BMP,2,FALSE))</f>
        <v>0</v>
      </c>
      <c r="K52" s="625">
        <f>IF(ISERROR(K51-L51),0,K51-L51)</f>
        <v>0</v>
      </c>
      <c r="L52" s="625">
        <f>IF(ISERROR(K52*J52),0,K52*J52)</f>
        <v>0</v>
      </c>
      <c r="M52" s="401"/>
      <c r="N52" s="382"/>
    </row>
    <row r="53" spans="1:25" ht="24.95" customHeight="1" x14ac:dyDescent="0.2">
      <c r="B53" s="399"/>
      <c r="C53" s="400"/>
      <c r="D53" s="1049"/>
      <c r="E53" s="1050"/>
      <c r="F53" s="1051"/>
      <c r="G53" s="1066"/>
      <c r="H53" s="1067"/>
      <c r="I53" s="1068"/>
      <c r="J53" s="378">
        <f>IF(ISERROR(VLOOKUP(C53,BMP,2,FALSE)),0,VLOOKUP(C53,BMP,2,FALSE))</f>
        <v>0</v>
      </c>
      <c r="K53" s="625">
        <f>IF(ISERROR(K52-L52),0,K52-L52)</f>
        <v>0</v>
      </c>
      <c r="L53" s="625">
        <f>IF(ISERROR(K53*J53),0,K53*J53)</f>
        <v>0</v>
      </c>
      <c r="M53" s="401"/>
      <c r="N53" s="381" t="e">
        <f>IF(G49&gt;(D49+5),"Exceeds Available Volume!","")</f>
        <v>#DIV/0!</v>
      </c>
    </row>
    <row r="54" spans="1:25" ht="24.95" customHeight="1" x14ac:dyDescent="0.2">
      <c r="B54" s="1052" t="s">
        <v>371</v>
      </c>
      <c r="C54" s="1053"/>
      <c r="D54" s="1054">
        <f>IF(J53&gt;0,K326-L53,IF(J52&gt;0,K52-L52,IF(J51&gt;0,K51-L51,IF(J50&gt;0,K50-L50,K49-L49))))</f>
        <v>0</v>
      </c>
      <c r="E54" s="1055"/>
      <c r="F54" s="1055"/>
      <c r="G54" s="1055"/>
      <c r="H54" s="1055"/>
      <c r="I54" s="1055"/>
      <c r="J54" s="1055"/>
      <c r="K54" s="1055"/>
      <c r="L54" s="1055"/>
      <c r="M54" s="1056"/>
      <c r="N54" s="382"/>
    </row>
    <row r="55" spans="1:25" s="306" customFormat="1" ht="24.95" customHeight="1" x14ac:dyDescent="0.2">
      <c r="A55" s="164"/>
      <c r="B55" s="953" t="s">
        <v>287</v>
      </c>
      <c r="C55" s="954"/>
      <c r="D55" s="954"/>
      <c r="E55" s="954"/>
      <c r="F55" s="954"/>
      <c r="G55" s="954"/>
      <c r="H55" s="954"/>
      <c r="I55" s="954"/>
      <c r="J55" s="954"/>
      <c r="K55" s="954"/>
      <c r="L55" s="954"/>
      <c r="M55" s="955"/>
      <c r="N55" s="382"/>
      <c r="O55" s="164"/>
      <c r="P55" s="164"/>
      <c r="Q55" s="164"/>
      <c r="R55" s="164"/>
      <c r="S55" s="164"/>
      <c r="T55" s="164"/>
      <c r="U55" s="164"/>
      <c r="V55" s="164"/>
      <c r="W55" s="164"/>
      <c r="X55" s="164"/>
      <c r="Y55" s="164"/>
    </row>
    <row r="56" spans="1:25" s="507" customFormat="1" ht="39.75" customHeight="1" x14ac:dyDescent="0.2">
      <c r="B56" s="1019" t="s">
        <v>499</v>
      </c>
      <c r="C56" s="1020"/>
      <c r="D56" s="1057"/>
      <c r="E56" s="1058"/>
      <c r="F56" s="1058"/>
      <c r="G56" s="1058"/>
      <c r="H56" s="1058"/>
      <c r="I56" s="1058"/>
      <c r="J56" s="1058"/>
      <c r="K56" s="1058"/>
      <c r="L56" s="1058"/>
      <c r="M56" s="1059"/>
      <c r="N56" s="382"/>
    </row>
    <row r="57" spans="1:25" s="507" customFormat="1" ht="39.75" hidden="1" customHeight="1" x14ac:dyDescent="0.2">
      <c r="B57" s="1019" t="s">
        <v>500</v>
      </c>
      <c r="C57" s="1020"/>
      <c r="D57" s="1129"/>
      <c r="E57" s="1130"/>
      <c r="F57" s="1130"/>
      <c r="G57" s="1130"/>
      <c r="H57" s="1130"/>
      <c r="I57" s="1130"/>
      <c r="J57" s="1130"/>
      <c r="K57" s="1130"/>
      <c r="L57" s="1130"/>
      <c r="M57" s="1131"/>
      <c r="N57" s="382"/>
    </row>
    <row r="58" spans="1:25" s="507" customFormat="1" ht="79.5" customHeight="1" x14ac:dyDescent="0.2">
      <c r="B58" s="374" t="s">
        <v>318</v>
      </c>
      <c r="C58" s="375" t="s">
        <v>284</v>
      </c>
      <c r="D58" s="1034" t="s">
        <v>568</v>
      </c>
      <c r="E58" s="1034"/>
      <c r="F58" s="1034"/>
      <c r="G58" s="1040" t="s">
        <v>490</v>
      </c>
      <c r="H58" s="1041"/>
      <c r="I58" s="1042"/>
      <c r="J58" s="631" t="s">
        <v>269</v>
      </c>
      <c r="K58" s="631" t="s">
        <v>491</v>
      </c>
      <c r="L58" s="631" t="s">
        <v>492</v>
      </c>
      <c r="M58" s="376" t="s">
        <v>322</v>
      </c>
      <c r="N58" s="382"/>
    </row>
    <row r="59" spans="1:25" ht="24.95" customHeight="1" x14ac:dyDescent="0.2">
      <c r="B59" s="399"/>
      <c r="C59" s="400"/>
      <c r="D59" s="1043" t="e">
        <f>IF('SITE SUMMARY'!$G$35="High",E163,"-")</f>
        <v>#DIV/0!</v>
      </c>
      <c r="E59" s="1044"/>
      <c r="F59" s="1045"/>
      <c r="G59" s="1060"/>
      <c r="H59" s="1061"/>
      <c r="I59" s="1062"/>
      <c r="J59" s="378">
        <f>IF(ISERROR(VLOOKUP(C59,BMP,2,FALSE)),0,VLOOKUP(C59,BMP,2,FALSE))</f>
        <v>0</v>
      </c>
      <c r="K59" s="625">
        <f>IF(ISERROR($H$114),D56,$H$114+D56)</f>
        <v>0</v>
      </c>
      <c r="L59" s="625">
        <f>IF(ISERROR(K59*J59),0,K59*J59)</f>
        <v>0</v>
      </c>
      <c r="M59" s="401"/>
      <c r="N59" s="382"/>
      <c r="O59" s="379"/>
      <c r="P59" s="379"/>
      <c r="Q59" s="379"/>
      <c r="R59" s="379"/>
      <c r="S59" s="379"/>
      <c r="T59" s="379"/>
    </row>
    <row r="60" spans="1:25" ht="24.95" customHeight="1" x14ac:dyDescent="0.2">
      <c r="B60" s="399"/>
      <c r="C60" s="400"/>
      <c r="D60" s="1046"/>
      <c r="E60" s="1047"/>
      <c r="F60" s="1048"/>
      <c r="G60" s="1063"/>
      <c r="H60" s="1064"/>
      <c r="I60" s="1065"/>
      <c r="J60" s="378">
        <f>IF(ISERROR(VLOOKUP(C60,BMP,2,FALSE)),0,VLOOKUP(C60,BMP,2,FALSE))</f>
        <v>0</v>
      </c>
      <c r="K60" s="625">
        <f>IF(ISERROR(K59-L59),0,K59-L59)</f>
        <v>0</v>
      </c>
      <c r="L60" s="625">
        <f>IF(ISERROR(K60*J60),0,K60*J60)</f>
        <v>0</v>
      </c>
      <c r="M60" s="401"/>
      <c r="N60" s="382"/>
    </row>
    <row r="61" spans="1:25" ht="24.95" customHeight="1" x14ac:dyDescent="0.2">
      <c r="B61" s="399"/>
      <c r="C61" s="400"/>
      <c r="D61" s="1046"/>
      <c r="E61" s="1047"/>
      <c r="F61" s="1048"/>
      <c r="G61" s="1063"/>
      <c r="H61" s="1064"/>
      <c r="I61" s="1065"/>
      <c r="J61" s="378">
        <f>IF(ISERROR(VLOOKUP(C61,BMP,2,FALSE)),0,VLOOKUP(C61,BMP,2,FALSE))</f>
        <v>0</v>
      </c>
      <c r="K61" s="625">
        <f>IF(ISERROR(K60-L60),0,K60-L60)</f>
        <v>0</v>
      </c>
      <c r="L61" s="625">
        <f>IF(ISERROR(K61*J61),0,K61*J61)</f>
        <v>0</v>
      </c>
      <c r="M61" s="401"/>
      <c r="N61" s="382"/>
    </row>
    <row r="62" spans="1:25" ht="24.95" customHeight="1" x14ac:dyDescent="0.2">
      <c r="B62" s="399"/>
      <c r="C62" s="400"/>
      <c r="D62" s="1046"/>
      <c r="E62" s="1047"/>
      <c r="F62" s="1048"/>
      <c r="G62" s="1063"/>
      <c r="H62" s="1064"/>
      <c r="I62" s="1065"/>
      <c r="J62" s="378">
        <f>IF(ISERROR(VLOOKUP(C62,BMP,2,FALSE)),0,VLOOKUP(C62,BMP,2,FALSE))</f>
        <v>0</v>
      </c>
      <c r="K62" s="625">
        <f>IF(ISERROR(K61-L61),0,K61-L61)</f>
        <v>0</v>
      </c>
      <c r="L62" s="625">
        <f>IF(ISERROR(K62*J62),0,K62*J62)</f>
        <v>0</v>
      </c>
      <c r="M62" s="401"/>
      <c r="N62" s="382"/>
    </row>
    <row r="63" spans="1:25" ht="24.95" customHeight="1" x14ac:dyDescent="0.2">
      <c r="B63" s="399"/>
      <c r="C63" s="400"/>
      <c r="D63" s="1049"/>
      <c r="E63" s="1050"/>
      <c r="F63" s="1051"/>
      <c r="G63" s="1066"/>
      <c r="H63" s="1067"/>
      <c r="I63" s="1068"/>
      <c r="J63" s="378">
        <f>IF(ISERROR(VLOOKUP(C63,BMP,2,FALSE)),0,VLOOKUP(C63,BMP,2,FALSE))</f>
        <v>0</v>
      </c>
      <c r="K63" s="625">
        <f>IF(ISERROR(K62-L62),0,K62-L62)</f>
        <v>0</v>
      </c>
      <c r="L63" s="625">
        <f>IF(ISERROR(K63*J63),0,K63*J63)</f>
        <v>0</v>
      </c>
      <c r="M63" s="401"/>
      <c r="N63" s="381" t="e">
        <f>IF(G59&gt;(D59+5),"Exceeds Available Volume!","")</f>
        <v>#DIV/0!</v>
      </c>
    </row>
    <row r="64" spans="1:25" ht="24.95" customHeight="1" x14ac:dyDescent="0.2">
      <c r="B64" s="1052" t="s">
        <v>371</v>
      </c>
      <c r="C64" s="1053"/>
      <c r="D64" s="1054">
        <f>IF(J63&gt;0,K63-L63,IF(J62&gt;0,K62-L62,IF(J61&gt;0,K61-L61,IF(J60&gt;0,K60-L60,K59-L59))))</f>
        <v>0</v>
      </c>
      <c r="E64" s="1055"/>
      <c r="F64" s="1055"/>
      <c r="G64" s="1055"/>
      <c r="H64" s="1055"/>
      <c r="I64" s="1055"/>
      <c r="J64" s="1055"/>
      <c r="K64" s="1055"/>
      <c r="L64" s="1055"/>
      <c r="M64" s="1056"/>
      <c r="N64" s="382"/>
    </row>
    <row r="65" spans="1:25" s="306" customFormat="1" ht="24.95" customHeight="1" x14ac:dyDescent="0.2">
      <c r="A65" s="164"/>
      <c r="B65" s="953" t="s">
        <v>372</v>
      </c>
      <c r="C65" s="954"/>
      <c r="D65" s="954"/>
      <c r="E65" s="954"/>
      <c r="F65" s="954"/>
      <c r="G65" s="954"/>
      <c r="H65" s="954"/>
      <c r="I65" s="954"/>
      <c r="J65" s="954"/>
      <c r="K65" s="954"/>
      <c r="L65" s="954"/>
      <c r="M65" s="955"/>
      <c r="N65" s="334"/>
      <c r="O65" s="164"/>
      <c r="P65" s="164"/>
      <c r="Q65" s="164"/>
      <c r="R65" s="164"/>
      <c r="S65" s="164"/>
      <c r="T65" s="164"/>
      <c r="U65" s="164"/>
      <c r="V65" s="164"/>
      <c r="W65" s="164"/>
      <c r="X65" s="164"/>
      <c r="Y65" s="164"/>
    </row>
    <row r="66" spans="1:25" s="507" customFormat="1" ht="39.950000000000003" customHeight="1" x14ac:dyDescent="0.2">
      <c r="B66" s="1019" t="s">
        <v>373</v>
      </c>
      <c r="C66" s="1020"/>
      <c r="D66" s="1057"/>
      <c r="E66" s="1058"/>
      <c r="F66" s="1058"/>
      <c r="G66" s="1058"/>
      <c r="H66" s="1058"/>
      <c r="I66" s="1058"/>
      <c r="J66" s="1058"/>
      <c r="K66" s="1058"/>
      <c r="L66" s="1058"/>
      <c r="M66" s="1059"/>
      <c r="N66" s="382"/>
    </row>
    <row r="67" spans="1:25" s="507" customFormat="1" ht="39.950000000000003" hidden="1" customHeight="1" x14ac:dyDescent="0.2">
      <c r="B67" s="1019" t="s">
        <v>501</v>
      </c>
      <c r="C67" s="1020"/>
      <c r="D67" s="1129"/>
      <c r="E67" s="1130"/>
      <c r="F67" s="1130"/>
      <c r="G67" s="1130"/>
      <c r="H67" s="1130"/>
      <c r="I67" s="1130"/>
      <c r="J67" s="1130"/>
      <c r="K67" s="1130"/>
      <c r="L67" s="1130"/>
      <c r="M67" s="1131"/>
      <c r="N67" s="382"/>
    </row>
    <row r="68" spans="1:25" s="507" customFormat="1" ht="79.5" customHeight="1" x14ac:dyDescent="0.2">
      <c r="B68" s="374" t="s">
        <v>318</v>
      </c>
      <c r="C68" s="375" t="s">
        <v>284</v>
      </c>
      <c r="D68" s="1034" t="s">
        <v>568</v>
      </c>
      <c r="E68" s="1034"/>
      <c r="F68" s="1034"/>
      <c r="G68" s="1034" t="s">
        <v>490</v>
      </c>
      <c r="H68" s="1034"/>
      <c r="I68" s="1034"/>
      <c r="J68" s="631" t="s">
        <v>269</v>
      </c>
      <c r="K68" s="631" t="s">
        <v>491</v>
      </c>
      <c r="L68" s="631" t="s">
        <v>492</v>
      </c>
      <c r="M68" s="376" t="s">
        <v>322</v>
      </c>
      <c r="N68" s="382"/>
    </row>
    <row r="69" spans="1:25" ht="24.95" customHeight="1" x14ac:dyDescent="0.2">
      <c r="B69" s="399"/>
      <c r="C69" s="400"/>
      <c r="D69" s="1043" t="e">
        <f>IF('SITE SUMMARY'!$G$35="High",E167,"-")</f>
        <v>#DIV/0!</v>
      </c>
      <c r="E69" s="1044"/>
      <c r="F69" s="1045"/>
      <c r="G69" s="1060"/>
      <c r="H69" s="1061"/>
      <c r="I69" s="1062"/>
      <c r="J69" s="378">
        <f>IF(ISERROR(VLOOKUP(C69,BMP,2,FALSE)),0,VLOOKUP(C69,BMP,2,FALSE))</f>
        <v>0</v>
      </c>
      <c r="K69" s="625">
        <f>IF(ISERROR($I$114),D66,$I$114+D66)</f>
        <v>0</v>
      </c>
      <c r="L69" s="625">
        <f>IF(ISERROR(K69*J69),0,K69*J69)</f>
        <v>0</v>
      </c>
      <c r="M69" s="401"/>
      <c r="N69" s="382"/>
      <c r="O69" s="379"/>
      <c r="P69" s="379"/>
      <c r="Q69" s="379"/>
      <c r="R69" s="379"/>
      <c r="S69" s="379"/>
      <c r="T69" s="379"/>
    </row>
    <row r="70" spans="1:25" ht="24.95" customHeight="1" x14ac:dyDescent="0.2">
      <c r="B70" s="399"/>
      <c r="C70" s="400"/>
      <c r="D70" s="1046"/>
      <c r="E70" s="1047"/>
      <c r="F70" s="1048"/>
      <c r="G70" s="1063"/>
      <c r="H70" s="1064"/>
      <c r="I70" s="1065"/>
      <c r="J70" s="378">
        <f>IF(ISERROR(VLOOKUP(C70,BMP,2,FALSE)),0,VLOOKUP(C70,BMP,2,FALSE))</f>
        <v>0</v>
      </c>
      <c r="K70" s="625">
        <f>IF(ISERROR(K69-L69),0,K69-L69)</f>
        <v>0</v>
      </c>
      <c r="L70" s="625">
        <f>IF(ISERROR(K70*J70),0,K70*J70)</f>
        <v>0</v>
      </c>
      <c r="M70" s="401"/>
      <c r="N70" s="382"/>
    </row>
    <row r="71" spans="1:25" ht="24.95" customHeight="1" x14ac:dyDescent="0.2">
      <c r="B71" s="399"/>
      <c r="C71" s="400"/>
      <c r="D71" s="1046"/>
      <c r="E71" s="1047"/>
      <c r="F71" s="1048"/>
      <c r="G71" s="1063"/>
      <c r="H71" s="1064"/>
      <c r="I71" s="1065"/>
      <c r="J71" s="378">
        <f>IF(ISERROR(VLOOKUP(C71,BMP,2,FALSE)),0,VLOOKUP(C71,BMP,2,FALSE))</f>
        <v>0</v>
      </c>
      <c r="K71" s="625">
        <f>IF(ISERROR(K70-L70),0,K70-L70)</f>
        <v>0</v>
      </c>
      <c r="L71" s="625">
        <f>IF(ISERROR(K71*J71),0,K71*J71)</f>
        <v>0</v>
      </c>
      <c r="M71" s="401"/>
      <c r="N71" s="382"/>
    </row>
    <row r="72" spans="1:25" ht="24.95" customHeight="1" x14ac:dyDescent="0.2">
      <c r="B72" s="399"/>
      <c r="C72" s="400"/>
      <c r="D72" s="1046"/>
      <c r="E72" s="1047"/>
      <c r="F72" s="1048"/>
      <c r="G72" s="1063"/>
      <c r="H72" s="1064"/>
      <c r="I72" s="1065"/>
      <c r="J72" s="378">
        <f>IF(ISERROR(VLOOKUP(C72,BMP,2,FALSE)),0,VLOOKUP(C72,BMP,2,FALSE))</f>
        <v>0</v>
      </c>
      <c r="K72" s="625">
        <f>IF(ISERROR(K71-L71),0,K71-L71)</f>
        <v>0</v>
      </c>
      <c r="L72" s="625">
        <f>IF(ISERROR(K72*J72),0,K72*J72)</f>
        <v>0</v>
      </c>
      <c r="M72" s="401"/>
      <c r="N72" s="382"/>
    </row>
    <row r="73" spans="1:25" ht="24.95" customHeight="1" x14ac:dyDescent="0.2">
      <c r="B73" s="399"/>
      <c r="C73" s="400"/>
      <c r="D73" s="1049"/>
      <c r="E73" s="1050"/>
      <c r="F73" s="1051"/>
      <c r="G73" s="1066"/>
      <c r="H73" s="1067"/>
      <c r="I73" s="1068"/>
      <c r="J73" s="378">
        <f>IF(ISERROR(VLOOKUP(C73,BMP,2,FALSE)),0,VLOOKUP(C73,BMP,2,FALSE))</f>
        <v>0</v>
      </c>
      <c r="K73" s="625">
        <f>IF(ISERROR(K72-L72),0,K72-L72)</f>
        <v>0</v>
      </c>
      <c r="L73" s="625">
        <f>IF(ISERROR(K73*J73),0,K73*J73)</f>
        <v>0</v>
      </c>
      <c r="M73" s="401"/>
      <c r="N73" s="381" t="e">
        <f>IF(G69&gt;(D69+5),"Exceeds Available Volume!","")</f>
        <v>#DIV/0!</v>
      </c>
    </row>
    <row r="74" spans="1:25" ht="24.95" customHeight="1" x14ac:dyDescent="0.2">
      <c r="B74" s="1052" t="s">
        <v>371</v>
      </c>
      <c r="C74" s="1053"/>
      <c r="D74" s="1054">
        <f>IF(J73&gt;0,K73-L73,IF(J72&gt;0,K72-L72,IF(J71&gt;0,K71-L71,IF(J70&gt;0,K70-L70,K69-L69))))</f>
        <v>0</v>
      </c>
      <c r="E74" s="1055"/>
      <c r="F74" s="1055"/>
      <c r="G74" s="1055"/>
      <c r="H74" s="1055"/>
      <c r="I74" s="1055"/>
      <c r="J74" s="1055"/>
      <c r="K74" s="1055"/>
      <c r="L74" s="1055"/>
      <c r="M74" s="1056"/>
      <c r="N74" s="382"/>
    </row>
    <row r="75" spans="1:25" ht="24.95" customHeight="1" x14ac:dyDescent="0.2">
      <c r="B75" s="1116" t="s">
        <v>690</v>
      </c>
      <c r="C75" s="1117"/>
      <c r="D75" s="1117"/>
      <c r="E75" s="1117"/>
      <c r="F75" s="1117"/>
      <c r="G75" s="1117"/>
      <c r="H75" s="1117"/>
      <c r="I75" s="1117"/>
      <c r="J75" s="1117"/>
      <c r="K75" s="1117"/>
      <c r="L75" s="1117"/>
      <c r="M75" s="1118"/>
      <c r="N75" s="1132" t="s">
        <v>422</v>
      </c>
    </row>
    <row r="76" spans="1:25" ht="24.95" customHeight="1" x14ac:dyDescent="0.2">
      <c r="B76" s="1110" t="s">
        <v>493</v>
      </c>
      <c r="C76" s="1111"/>
      <c r="D76" s="1112">
        <f>G29+G39+G49+G59+G69</f>
        <v>0</v>
      </c>
      <c r="E76" s="1113"/>
      <c r="F76" s="1113"/>
      <c r="G76" s="1113"/>
      <c r="H76" s="1113"/>
      <c r="I76" s="1113"/>
      <c r="J76" s="1113"/>
      <c r="K76" s="1113"/>
      <c r="L76" s="1113"/>
      <c r="M76" s="1114"/>
      <c r="N76" s="1132"/>
    </row>
    <row r="77" spans="1:25" ht="24.95" customHeight="1" x14ac:dyDescent="0.2">
      <c r="B77" s="1069" t="s">
        <v>338</v>
      </c>
      <c r="C77" s="884"/>
      <c r="D77" s="1070">
        <f>SUM(L29:L33,L39:L43,L49:L53,L59:L63,L69:L73)</f>
        <v>0</v>
      </c>
      <c r="E77" s="1070"/>
      <c r="F77" s="1070"/>
      <c r="G77" s="1070"/>
      <c r="H77" s="1070"/>
      <c r="I77" s="1070"/>
      <c r="J77" s="1070"/>
      <c r="K77" s="1070"/>
      <c r="L77" s="1070"/>
      <c r="M77" s="1071"/>
      <c r="N77" s="1132"/>
    </row>
    <row r="78" spans="1:25" ht="24.95" customHeight="1" x14ac:dyDescent="0.2">
      <c r="B78" s="1099" t="s">
        <v>337</v>
      </c>
      <c r="C78" s="1100"/>
      <c r="D78" s="1100"/>
      <c r="E78" s="1100"/>
      <c r="F78" s="1100"/>
      <c r="G78" s="1100"/>
      <c r="H78" s="1100"/>
      <c r="I78" s="1100"/>
      <c r="J78" s="1100"/>
      <c r="K78" s="1100"/>
      <c r="L78" s="1100"/>
      <c r="M78" s="1101"/>
      <c r="N78" s="1132"/>
    </row>
    <row r="79" spans="1:25" ht="24.95" customHeight="1" x14ac:dyDescent="0.2">
      <c r="B79" s="883" t="s">
        <v>465</v>
      </c>
      <c r="C79" s="884"/>
      <c r="D79" s="1072">
        <f>IF(('DA8'!H83-D76)&lt;0,0,'DA8'!H83-D76)</f>
        <v>0</v>
      </c>
      <c r="E79" s="1072"/>
      <c r="F79" s="1072"/>
      <c r="G79" s="1072"/>
      <c r="H79" s="1072"/>
      <c r="I79" s="1072"/>
      <c r="J79" s="1072"/>
      <c r="K79" s="1072"/>
      <c r="L79" s="1072"/>
      <c r="M79" s="1073"/>
      <c r="N79" s="1132"/>
    </row>
    <row r="80" spans="1:25" ht="24.95" customHeight="1" x14ac:dyDescent="0.2">
      <c r="B80" s="1069" t="s">
        <v>413</v>
      </c>
      <c r="C80" s="884"/>
      <c r="D80" s="1074" t="e">
        <f>((((D79)/(C9*43560)))*12)</f>
        <v>#DIV/0!</v>
      </c>
      <c r="E80" s="1074"/>
      <c r="F80" s="1074"/>
      <c r="G80" s="1074"/>
      <c r="H80" s="1074"/>
      <c r="I80" s="1074"/>
      <c r="J80" s="1074"/>
      <c r="K80" s="1074"/>
      <c r="L80" s="1074"/>
      <c r="M80" s="1075"/>
      <c r="N80" s="1132"/>
    </row>
    <row r="81" spans="1:14" ht="24.95" customHeight="1" x14ac:dyDescent="0.2">
      <c r="B81" s="1069" t="s">
        <v>409</v>
      </c>
      <c r="C81" s="884"/>
      <c r="D81" s="1076">
        <f>IF(ISERROR(VLOOKUP($D$80,CN,2,TRUE)),0,VLOOKUP($D$80,CN,2,TRUE))</f>
        <v>0</v>
      </c>
      <c r="E81" s="1076"/>
      <c r="F81" s="1076"/>
      <c r="G81" s="1076"/>
      <c r="H81" s="1076"/>
      <c r="I81" s="1076"/>
      <c r="J81" s="1076"/>
      <c r="K81" s="1076"/>
      <c r="L81" s="1076"/>
      <c r="M81" s="1077"/>
      <c r="N81" s="1132"/>
    </row>
    <row r="82" spans="1:14" ht="33.75" customHeight="1" x14ac:dyDescent="0.2">
      <c r="B82" s="1069" t="s">
        <v>353</v>
      </c>
      <c r="C82" s="884"/>
      <c r="D82" s="1102"/>
      <c r="E82" s="1103"/>
      <c r="F82" s="1103"/>
      <c r="G82" s="1103"/>
      <c r="H82" s="1103"/>
      <c r="I82" s="1103"/>
      <c r="J82" s="1103"/>
      <c r="K82" s="1103"/>
      <c r="L82" s="1103"/>
      <c r="M82" s="1104"/>
      <c r="N82" s="1132"/>
    </row>
    <row r="83" spans="1:14" ht="24.95" customHeight="1" x14ac:dyDescent="0.2">
      <c r="B83" s="1099" t="s">
        <v>374</v>
      </c>
      <c r="C83" s="1100"/>
      <c r="D83" s="1100"/>
      <c r="E83" s="1100"/>
      <c r="F83" s="1100"/>
      <c r="G83" s="1100"/>
      <c r="H83" s="1100"/>
      <c r="I83" s="1100"/>
      <c r="J83" s="1100"/>
      <c r="K83" s="1100"/>
      <c r="L83" s="1100"/>
      <c r="M83" s="1101"/>
      <c r="N83" s="1132"/>
    </row>
    <row r="84" spans="1:14" ht="24.95" customHeight="1" x14ac:dyDescent="0.2">
      <c r="B84" s="883" t="s">
        <v>416</v>
      </c>
      <c r="C84" s="884"/>
      <c r="D84" s="1072" t="e">
        <f>IF(('DA8'!H88-D76)&lt;0,0,'DA8'!H88-D76)</f>
        <v>#DIV/0!</v>
      </c>
      <c r="E84" s="1072"/>
      <c r="F84" s="1072"/>
      <c r="G84" s="1072"/>
      <c r="H84" s="1072"/>
      <c r="I84" s="1072"/>
      <c r="J84" s="1072"/>
      <c r="K84" s="1072"/>
      <c r="L84" s="1072"/>
      <c r="M84" s="1073"/>
      <c r="N84" s="1132"/>
    </row>
    <row r="85" spans="1:14" ht="24.95" customHeight="1" x14ac:dyDescent="0.2">
      <c r="B85" s="1105" t="s">
        <v>411</v>
      </c>
      <c r="C85" s="1106"/>
      <c r="D85" s="1074" t="e">
        <f>((D84/(C9*43560)))*12</f>
        <v>#DIV/0!</v>
      </c>
      <c r="E85" s="1074"/>
      <c r="F85" s="1074"/>
      <c r="G85" s="1074"/>
      <c r="H85" s="1074"/>
      <c r="I85" s="1074"/>
      <c r="J85" s="1074"/>
      <c r="K85" s="1074"/>
      <c r="L85" s="1074"/>
      <c r="M85" s="1075"/>
      <c r="N85" s="1132"/>
    </row>
    <row r="86" spans="1:14" ht="24.95" customHeight="1" x14ac:dyDescent="0.2">
      <c r="B86" s="1069" t="s">
        <v>431</v>
      </c>
      <c r="C86" s="884"/>
      <c r="D86" s="1076">
        <f>IF(ISERROR(VLOOKUP(D85,CN2YR,2,TRUE)),0,VLOOKUP(D85,CN2YR,2,TRUE))</f>
        <v>0</v>
      </c>
      <c r="E86" s="1076"/>
      <c r="F86" s="1076"/>
      <c r="G86" s="1076"/>
      <c r="H86" s="1076"/>
      <c r="I86" s="1076"/>
      <c r="J86" s="1076"/>
      <c r="K86" s="1076"/>
      <c r="L86" s="1076"/>
      <c r="M86" s="1077"/>
      <c r="N86" s="1132"/>
    </row>
    <row r="87" spans="1:14" ht="33.75" customHeight="1" x14ac:dyDescent="0.2">
      <c r="B87" s="1069" t="s">
        <v>410</v>
      </c>
      <c r="C87" s="884"/>
      <c r="D87" s="1102"/>
      <c r="E87" s="1103"/>
      <c r="F87" s="1103"/>
      <c r="G87" s="1103"/>
      <c r="H87" s="1103"/>
      <c r="I87" s="1103"/>
      <c r="J87" s="1103"/>
      <c r="K87" s="1103"/>
      <c r="L87" s="1103"/>
      <c r="M87" s="1104"/>
      <c r="N87" s="1132"/>
    </row>
    <row r="88" spans="1:14" ht="24.95" customHeight="1" x14ac:dyDescent="0.2">
      <c r="B88" s="1099" t="s">
        <v>376</v>
      </c>
      <c r="C88" s="1100"/>
      <c r="D88" s="1100"/>
      <c r="E88" s="1100"/>
      <c r="F88" s="1100"/>
      <c r="G88" s="1100"/>
      <c r="H88" s="1100"/>
      <c r="I88" s="1100"/>
      <c r="J88" s="1100"/>
      <c r="K88" s="1100"/>
      <c r="L88" s="1100"/>
      <c r="M88" s="1101"/>
      <c r="N88" s="1132"/>
    </row>
    <row r="89" spans="1:14" s="169" customFormat="1" ht="24.95" hidden="1" customHeight="1" x14ac:dyDescent="0.2">
      <c r="A89" s="216"/>
      <c r="B89" s="1097" t="s">
        <v>417</v>
      </c>
      <c r="C89" s="1098"/>
      <c r="D89" s="1078" t="e">
        <f>('DA8'!H91/12)*('DA8'!H10*43560)</f>
        <v>#DIV/0!</v>
      </c>
      <c r="E89" s="1079"/>
      <c r="F89" s="1079"/>
      <c r="G89" s="1079"/>
      <c r="H89" s="1079"/>
      <c r="I89" s="1079"/>
      <c r="J89" s="1079"/>
      <c r="K89" s="1079"/>
      <c r="L89" s="1079"/>
      <c r="M89" s="1080"/>
      <c r="N89" s="1132"/>
    </row>
    <row r="90" spans="1:14" ht="24.95" customHeight="1" x14ac:dyDescent="0.2">
      <c r="B90" s="883" t="s">
        <v>466</v>
      </c>
      <c r="C90" s="884"/>
      <c r="D90" s="1072" t="e">
        <f>IF(('DA8'!H92-D76)&lt;0,0,'DA8'!H92-D76)</f>
        <v>#DIV/0!</v>
      </c>
      <c r="E90" s="1072"/>
      <c r="F90" s="1072"/>
      <c r="G90" s="1072"/>
      <c r="H90" s="1072"/>
      <c r="I90" s="1072"/>
      <c r="J90" s="1072"/>
      <c r="K90" s="1072"/>
      <c r="L90" s="1072"/>
      <c r="M90" s="1073"/>
      <c r="N90" s="1132"/>
    </row>
    <row r="91" spans="1:14" ht="24.95" customHeight="1" x14ac:dyDescent="0.2">
      <c r="B91" s="1069" t="s">
        <v>432</v>
      </c>
      <c r="C91" s="884"/>
      <c r="D91" s="1074" t="e">
        <f>((D90/(C9*43560)))*12</f>
        <v>#DIV/0!</v>
      </c>
      <c r="E91" s="1074"/>
      <c r="F91" s="1074"/>
      <c r="G91" s="1074"/>
      <c r="H91" s="1074"/>
      <c r="I91" s="1074"/>
      <c r="J91" s="1074"/>
      <c r="K91" s="1074"/>
      <c r="L91" s="1074"/>
      <c r="M91" s="1075"/>
      <c r="N91" s="1132"/>
    </row>
    <row r="92" spans="1:14" ht="24.95" customHeight="1" x14ac:dyDescent="0.2">
      <c r="B92" s="1105" t="s">
        <v>433</v>
      </c>
      <c r="C92" s="1106"/>
      <c r="D92" s="1076">
        <f>IF(ISERROR(VLOOKUP(D91,CN2YR,2,TRUE)),0,VLOOKUP(D91,CN2YR,2,TRUE))</f>
        <v>0</v>
      </c>
      <c r="E92" s="1076"/>
      <c r="F92" s="1076"/>
      <c r="G92" s="1076"/>
      <c r="H92" s="1076"/>
      <c r="I92" s="1076"/>
      <c r="J92" s="1076"/>
      <c r="K92" s="1076"/>
      <c r="L92" s="1076"/>
      <c r="M92" s="1077"/>
      <c r="N92" s="1132"/>
    </row>
    <row r="93" spans="1:14" ht="33.75" customHeight="1" thickBot="1" x14ac:dyDescent="0.25">
      <c r="B93" s="1021" t="s">
        <v>412</v>
      </c>
      <c r="C93" s="1022"/>
      <c r="D93" s="1023"/>
      <c r="E93" s="1024"/>
      <c r="F93" s="1024"/>
      <c r="G93" s="1024"/>
      <c r="H93" s="1024"/>
      <c r="I93" s="1024"/>
      <c r="J93" s="1024"/>
      <c r="K93" s="1024"/>
      <c r="L93" s="1024"/>
      <c r="M93" s="1025"/>
      <c r="N93" s="1132"/>
    </row>
    <row r="94" spans="1:14" s="507" customFormat="1" x14ac:dyDescent="0.2">
      <c r="K94" s="573"/>
    </row>
    <row r="95" spans="1:14" s="507" customFormat="1" hidden="1" x14ac:dyDescent="0.2">
      <c r="K95" s="573"/>
    </row>
    <row r="96" spans="1:14" s="507" customFormat="1" hidden="1" x14ac:dyDescent="0.2">
      <c r="K96" s="573"/>
    </row>
    <row r="97" spans="1:25" s="507" customFormat="1" hidden="1" x14ac:dyDescent="0.2">
      <c r="K97" s="573"/>
    </row>
    <row r="98" spans="1:25" s="507" customFormat="1" hidden="1" x14ac:dyDescent="0.2">
      <c r="K98" s="573"/>
      <c r="N98" s="344"/>
    </row>
    <row r="99" spans="1:25" s="383" customFormat="1" ht="15.75" hidden="1" x14ac:dyDescent="0.25">
      <c r="A99" s="508"/>
      <c r="B99" s="313" t="s">
        <v>126</v>
      </c>
      <c r="K99" s="449"/>
    </row>
    <row r="100" spans="1:25" hidden="1" x14ac:dyDescent="0.2">
      <c r="B100" s="507"/>
      <c r="C100" s="507"/>
      <c r="D100" s="507"/>
      <c r="E100" s="507"/>
      <c r="F100" s="507"/>
      <c r="G100" s="507"/>
      <c r="H100" s="507"/>
      <c r="I100" s="507"/>
      <c r="J100" s="507"/>
      <c r="K100" s="573"/>
      <c r="L100" s="507"/>
      <c r="M100" s="507"/>
      <c r="N100" s="347"/>
    </row>
    <row r="101" spans="1:25" hidden="1" x14ac:dyDescent="0.2">
      <c r="B101" s="507"/>
      <c r="C101" s="507"/>
      <c r="D101" s="507"/>
      <c r="E101" s="507"/>
      <c r="F101" s="507"/>
      <c r="G101" s="507"/>
      <c r="H101" s="507"/>
      <c r="I101" s="507"/>
      <c r="J101" s="507"/>
      <c r="K101" s="573"/>
      <c r="L101" s="507"/>
      <c r="M101" s="507"/>
      <c r="N101" s="347"/>
    </row>
    <row r="102" spans="1:25" ht="18" hidden="1" x14ac:dyDescent="0.25">
      <c r="B102" s="384" t="s">
        <v>276</v>
      </c>
      <c r="C102" s="384"/>
      <c r="D102" s="384"/>
      <c r="E102" s="384"/>
      <c r="F102" s="384"/>
      <c r="G102" s="384"/>
      <c r="H102" s="384"/>
      <c r="I102" s="384"/>
      <c r="J102" s="384"/>
      <c r="K102" s="384"/>
      <c r="L102" s="384"/>
      <c r="M102" s="384"/>
      <c r="N102" s="347"/>
    </row>
    <row r="103" spans="1:25" hidden="1" x14ac:dyDescent="0.2">
      <c r="B103" s="507"/>
      <c r="C103" s="507"/>
      <c r="D103" s="507"/>
      <c r="E103" s="507"/>
      <c r="F103" s="507"/>
      <c r="G103" s="507"/>
      <c r="H103" s="507"/>
      <c r="I103" s="507"/>
      <c r="J103" s="507"/>
      <c r="K103" s="573"/>
      <c r="L103" s="507"/>
      <c r="M103" s="507"/>
      <c r="N103" s="347"/>
    </row>
    <row r="104" spans="1:25" ht="47.25" hidden="1" x14ac:dyDescent="0.2">
      <c r="B104" s="385" t="s">
        <v>273</v>
      </c>
      <c r="C104" s="386"/>
      <c r="D104" s="579" t="s">
        <v>553</v>
      </c>
      <c r="E104" s="580" t="s">
        <v>691</v>
      </c>
      <c r="F104" s="580" t="s">
        <v>692</v>
      </c>
      <c r="G104" s="580" t="s">
        <v>693</v>
      </c>
      <c r="H104" s="591" t="s">
        <v>694</v>
      </c>
      <c r="I104" s="591" t="s">
        <v>695</v>
      </c>
      <c r="J104" s="507"/>
      <c r="K104" s="507"/>
      <c r="L104" s="609"/>
      <c r="M104" s="507"/>
      <c r="N104" s="507"/>
      <c r="X104" s="161"/>
      <c r="Y104" s="161"/>
    </row>
    <row r="105" spans="1:25" hidden="1" x14ac:dyDescent="0.2">
      <c r="B105" s="592" t="s">
        <v>12</v>
      </c>
      <c r="C105" s="387"/>
      <c r="D105" s="578">
        <v>1.2</v>
      </c>
      <c r="E105" s="388">
        <f>(SUM(D17:E17))*$D$105</f>
        <v>0</v>
      </c>
      <c r="F105" s="388">
        <f t="shared" ref="F105:F112" si="1">(SUM(F17:G17))*D105</f>
        <v>0</v>
      </c>
      <c r="G105" s="388">
        <f t="shared" ref="G105:G112" si="2">(SUM(H17:I17))*D105</f>
        <v>0</v>
      </c>
      <c r="H105" s="388">
        <f t="shared" ref="H105:H112" si="3">(SUM(J17:K17))*D105</f>
        <v>0</v>
      </c>
      <c r="I105" s="388">
        <f t="shared" ref="I105:I112" si="4">(SUM(L17:M17))*D105</f>
        <v>0</v>
      </c>
      <c r="J105" s="507"/>
      <c r="K105" s="507"/>
      <c r="L105" s="611" t="s">
        <v>515</v>
      </c>
      <c r="M105" s="507"/>
      <c r="N105" s="507"/>
      <c r="X105" s="161"/>
      <c r="Y105" s="161"/>
    </row>
    <row r="106" spans="1:25" hidden="1" x14ac:dyDescent="0.2">
      <c r="B106" s="592" t="s">
        <v>253</v>
      </c>
      <c r="C106" s="387"/>
      <c r="D106" s="578">
        <v>1.6</v>
      </c>
      <c r="E106" s="388">
        <f>(SUM(D18:E18))*$D$106</f>
        <v>0</v>
      </c>
      <c r="F106" s="388">
        <f t="shared" si="1"/>
        <v>0</v>
      </c>
      <c r="G106" s="388">
        <f t="shared" si="2"/>
        <v>0</v>
      </c>
      <c r="H106" s="388">
        <f t="shared" si="3"/>
        <v>0</v>
      </c>
      <c r="I106" s="388">
        <f t="shared" si="4"/>
        <v>0</v>
      </c>
      <c r="J106" s="507"/>
      <c r="K106" s="507"/>
      <c r="L106" s="610" t="s">
        <v>516</v>
      </c>
      <c r="M106" s="507"/>
      <c r="N106" s="507"/>
      <c r="X106" s="161"/>
      <c r="Y106" s="161"/>
    </row>
    <row r="107" spans="1:25" hidden="1" x14ac:dyDescent="0.2">
      <c r="B107" s="592" t="s">
        <v>258</v>
      </c>
      <c r="C107" s="387"/>
      <c r="D107" s="578">
        <v>1.2</v>
      </c>
      <c r="E107" s="388">
        <f>(SUM(D19:E19))*$D$107</f>
        <v>0</v>
      </c>
      <c r="F107" s="388">
        <f t="shared" si="1"/>
        <v>0</v>
      </c>
      <c r="G107" s="388">
        <f t="shared" si="2"/>
        <v>0</v>
      </c>
      <c r="H107" s="388">
        <f t="shared" si="3"/>
        <v>0</v>
      </c>
      <c r="I107" s="388">
        <f t="shared" si="4"/>
        <v>0</v>
      </c>
      <c r="J107" s="507"/>
      <c r="K107" s="507"/>
      <c r="L107" s="610"/>
      <c r="M107" s="507"/>
      <c r="N107" s="507"/>
      <c r="X107" s="161"/>
      <c r="Y107" s="161"/>
    </row>
    <row r="108" spans="1:25" hidden="1" x14ac:dyDescent="0.2">
      <c r="B108" s="592" t="s">
        <v>254</v>
      </c>
      <c r="C108" s="387"/>
      <c r="D108" s="578">
        <v>0.8</v>
      </c>
      <c r="E108" s="388">
        <f>(SUM(D20:E20))*$D$108</f>
        <v>0</v>
      </c>
      <c r="F108" s="388">
        <f t="shared" si="1"/>
        <v>0</v>
      </c>
      <c r="G108" s="388">
        <f t="shared" si="2"/>
        <v>0</v>
      </c>
      <c r="H108" s="388">
        <f t="shared" si="3"/>
        <v>0</v>
      </c>
      <c r="I108" s="388">
        <f t="shared" si="4"/>
        <v>0</v>
      </c>
      <c r="J108" s="507"/>
      <c r="K108" s="507"/>
      <c r="L108" s="523"/>
      <c r="M108" s="507"/>
      <c r="N108" s="507"/>
      <c r="X108" s="161"/>
      <c r="Y108" s="161"/>
    </row>
    <row r="109" spans="1:25" hidden="1" x14ac:dyDescent="0.2">
      <c r="B109" s="592" t="s">
        <v>255</v>
      </c>
      <c r="C109" s="387"/>
      <c r="D109" s="389">
        <v>1</v>
      </c>
      <c r="E109" s="388">
        <f>(SUM(D21:E21))*$D$109</f>
        <v>0</v>
      </c>
      <c r="F109" s="388">
        <f t="shared" si="1"/>
        <v>0</v>
      </c>
      <c r="G109" s="388">
        <f t="shared" si="2"/>
        <v>0</v>
      </c>
      <c r="H109" s="388">
        <f t="shared" si="3"/>
        <v>0</v>
      </c>
      <c r="I109" s="388">
        <f t="shared" si="4"/>
        <v>0</v>
      </c>
      <c r="J109" s="507"/>
      <c r="K109" s="507"/>
      <c r="L109" s="523"/>
      <c r="M109" s="507"/>
      <c r="N109" s="507"/>
      <c r="X109" s="161"/>
      <c r="Y109" s="161"/>
    </row>
    <row r="110" spans="1:25" hidden="1" x14ac:dyDescent="0.2">
      <c r="B110" s="592" t="s">
        <v>256</v>
      </c>
      <c r="C110" s="387"/>
      <c r="D110" s="578">
        <v>0.8</v>
      </c>
      <c r="E110" s="388">
        <f>(SUM(D22:E22))*$D$110</f>
        <v>0</v>
      </c>
      <c r="F110" s="388">
        <f t="shared" si="1"/>
        <v>0</v>
      </c>
      <c r="G110" s="388">
        <f t="shared" si="2"/>
        <v>0</v>
      </c>
      <c r="H110" s="388">
        <f t="shared" si="3"/>
        <v>0</v>
      </c>
      <c r="I110" s="388">
        <f t="shared" si="4"/>
        <v>0</v>
      </c>
      <c r="J110" s="507"/>
      <c r="K110" s="507"/>
      <c r="L110" s="523"/>
      <c r="M110" s="507"/>
      <c r="N110" s="507"/>
      <c r="X110" s="161"/>
      <c r="Y110" s="161"/>
    </row>
    <row r="111" spans="1:25" hidden="1" x14ac:dyDescent="0.2">
      <c r="B111" s="592" t="s">
        <v>257</v>
      </c>
      <c r="C111" s="387"/>
      <c r="D111" s="578">
        <v>0.6</v>
      </c>
      <c r="E111" s="388">
        <f>(SUM(D23:E23))*$D$111</f>
        <v>0</v>
      </c>
      <c r="F111" s="388">
        <f t="shared" si="1"/>
        <v>0</v>
      </c>
      <c r="G111" s="388">
        <f t="shared" si="2"/>
        <v>0</v>
      </c>
      <c r="H111" s="388">
        <f t="shared" si="3"/>
        <v>0</v>
      </c>
      <c r="I111" s="388">
        <f t="shared" si="4"/>
        <v>0</v>
      </c>
      <c r="J111" s="507"/>
      <c r="K111" s="507"/>
      <c r="L111" s="523"/>
      <c r="M111" s="507"/>
      <c r="N111" s="507"/>
      <c r="X111" s="161"/>
      <c r="Y111" s="161"/>
    </row>
    <row r="112" spans="1:25" hidden="1" x14ac:dyDescent="0.2">
      <c r="B112" s="592" t="s">
        <v>245</v>
      </c>
      <c r="C112" s="387"/>
      <c r="D112" s="578">
        <v>0.6</v>
      </c>
      <c r="E112" s="388">
        <f>(SUM(D24:E24))*$D$112</f>
        <v>0</v>
      </c>
      <c r="F112" s="388">
        <f t="shared" si="1"/>
        <v>0</v>
      </c>
      <c r="G112" s="388">
        <f t="shared" si="2"/>
        <v>0</v>
      </c>
      <c r="H112" s="388">
        <f t="shared" si="3"/>
        <v>0</v>
      </c>
      <c r="I112" s="388">
        <f t="shared" si="4"/>
        <v>0</v>
      </c>
      <c r="J112" s="507"/>
      <c r="K112" s="507"/>
      <c r="L112" s="523"/>
      <c r="M112" s="507"/>
      <c r="N112" s="507"/>
      <c r="X112" s="161"/>
      <c r="Y112" s="161"/>
    </row>
    <row r="113" spans="2:25" ht="15.75" hidden="1" thickBot="1" x14ac:dyDescent="0.25">
      <c r="B113" s="592" t="s">
        <v>44</v>
      </c>
      <c r="C113" s="387"/>
      <c r="D113" s="578">
        <v>21.2</v>
      </c>
      <c r="E113" s="388">
        <f>SUM(D25:E25)*$D$113</f>
        <v>0</v>
      </c>
      <c r="F113" s="388">
        <f>SUM(F25:G25)*D113</f>
        <v>0</v>
      </c>
      <c r="G113" s="388">
        <f>SUM(H25:I25)*D113</f>
        <v>0</v>
      </c>
      <c r="H113" s="388">
        <f>SUM(J25:K25)*D113</f>
        <v>0</v>
      </c>
      <c r="I113" s="388">
        <f>SUM(L25:M25)*D113</f>
        <v>0</v>
      </c>
      <c r="J113" s="507"/>
      <c r="K113" s="507"/>
      <c r="L113" s="523"/>
      <c r="M113" s="507"/>
      <c r="N113" s="507"/>
      <c r="X113" s="161"/>
      <c r="Y113" s="161"/>
    </row>
    <row r="114" spans="2:25" ht="15.75" hidden="1" thickBot="1" x14ac:dyDescent="0.25">
      <c r="B114" s="507"/>
      <c r="C114" s="507"/>
      <c r="D114" s="390" t="s">
        <v>283</v>
      </c>
      <c r="E114" s="558">
        <f>SUM(E105:E113)</f>
        <v>0</v>
      </c>
      <c r="F114" s="558">
        <f t="shared" ref="F114:I114" si="5">SUM(F105:F113)</f>
        <v>0</v>
      </c>
      <c r="G114" s="558">
        <f t="shared" si="5"/>
        <v>0</v>
      </c>
      <c r="H114" s="558">
        <f t="shared" si="5"/>
        <v>0</v>
      </c>
      <c r="I114" s="558">
        <f t="shared" si="5"/>
        <v>0</v>
      </c>
      <c r="J114" s="507"/>
      <c r="K114" s="507"/>
      <c r="L114" s="523"/>
      <c r="M114" s="507"/>
      <c r="N114" s="507"/>
      <c r="X114" s="161"/>
      <c r="Y114" s="161"/>
    </row>
    <row r="115" spans="2:25" hidden="1" x14ac:dyDescent="0.2">
      <c r="B115" s="507"/>
      <c r="C115" s="507"/>
      <c r="D115" s="507"/>
      <c r="E115" s="507"/>
      <c r="F115" s="507"/>
      <c r="G115" s="507"/>
      <c r="H115" s="507"/>
      <c r="I115" s="507"/>
      <c r="J115" s="507"/>
      <c r="K115" s="573"/>
      <c r="L115" s="507"/>
      <c r="M115" s="507"/>
      <c r="N115" s="523"/>
    </row>
    <row r="116" spans="2:25" hidden="1" x14ac:dyDescent="0.2">
      <c r="B116" s="507"/>
      <c r="C116" s="507"/>
      <c r="D116" s="507"/>
      <c r="E116" s="507"/>
      <c r="F116" s="507"/>
      <c r="G116" s="507"/>
      <c r="H116" s="507"/>
      <c r="I116" s="507"/>
      <c r="J116" s="507"/>
      <c r="K116" s="573"/>
      <c r="L116" s="507"/>
      <c r="M116" s="507"/>
      <c r="N116" s="507"/>
    </row>
    <row r="117" spans="2:25" hidden="1" x14ac:dyDescent="0.2">
      <c r="B117" s="507"/>
      <c r="C117" s="507"/>
      <c r="D117" s="507"/>
      <c r="E117" s="507"/>
      <c r="F117" s="507"/>
      <c r="G117" s="507"/>
      <c r="H117" s="507"/>
      <c r="I117" s="507"/>
      <c r="J117" s="507"/>
      <c r="K117" s="573"/>
      <c r="L117" s="507"/>
      <c r="M117" s="507"/>
      <c r="N117" s="507"/>
    </row>
    <row r="118" spans="2:25" hidden="1" x14ac:dyDescent="0.2">
      <c r="B118" s="507"/>
      <c r="C118" s="507"/>
      <c r="D118" s="507"/>
      <c r="E118" s="507"/>
      <c r="F118" s="507"/>
      <c r="G118" s="1096" t="s">
        <v>418</v>
      </c>
      <c r="H118" s="1096"/>
      <c r="I118" s="1096"/>
      <c r="J118" s="1096"/>
      <c r="K118" s="1096"/>
      <c r="L118" s="1096"/>
      <c r="M118" s="1096"/>
    </row>
    <row r="119" spans="2:25" ht="15.75" hidden="1" thickBot="1" x14ac:dyDescent="0.25">
      <c r="B119" s="507"/>
      <c r="C119" s="507"/>
      <c r="D119" s="507"/>
      <c r="E119" s="507"/>
      <c r="F119" s="507"/>
      <c r="G119" s="1096"/>
      <c r="H119" s="1096"/>
      <c r="I119" s="1096"/>
      <c r="J119" s="1096"/>
      <c r="K119" s="1096"/>
      <c r="L119" s="1096"/>
      <c r="M119" s="1096"/>
    </row>
    <row r="120" spans="2:25" ht="48" hidden="1" x14ac:dyDescent="0.2">
      <c r="B120" s="605" t="s">
        <v>215</v>
      </c>
      <c r="C120" s="606"/>
      <c r="D120" s="606"/>
      <c r="E120" s="607"/>
      <c r="F120" s="507"/>
      <c r="G120" s="586" t="s">
        <v>323</v>
      </c>
      <c r="H120" s="392" t="s">
        <v>419</v>
      </c>
      <c r="I120" s="288" t="s">
        <v>175</v>
      </c>
      <c r="J120" s="392" t="s">
        <v>420</v>
      </c>
      <c r="K120" s="288" t="s">
        <v>175</v>
      </c>
      <c r="L120" s="392" t="s">
        <v>421</v>
      </c>
      <c r="M120" s="288" t="s">
        <v>175</v>
      </c>
    </row>
    <row r="121" spans="2:25" hidden="1" x14ac:dyDescent="0.2">
      <c r="B121" s="599" t="s">
        <v>207</v>
      </c>
      <c r="C121" s="586" t="s">
        <v>217</v>
      </c>
      <c r="D121" s="898" t="s">
        <v>54</v>
      </c>
      <c r="E121" s="902"/>
      <c r="F121" s="507"/>
      <c r="G121" s="393">
        <f>(1000/I121)-10</f>
        <v>16.315789473684209</v>
      </c>
      <c r="H121" s="394">
        <f>('SITE DATA'!$F$26-(0.2*G121))^2/('SITE DATA'!$F$26+(0.8*G121))</f>
        <v>0.8157894736842104</v>
      </c>
      <c r="I121" s="395">
        <v>38</v>
      </c>
      <c r="J121" s="394">
        <f>('SITE DATA'!$F$27-(0.2*G121))^2/('SITE DATA'!$F$27+(0.8*G121))</f>
        <v>0.8157894736842104</v>
      </c>
      <c r="K121" s="395">
        <v>38</v>
      </c>
      <c r="L121" s="394">
        <f>('SITE DATA'!$F$28-(0.2*G121))^2/('SITE DATA'!$F$28+(0.8*G121))</f>
        <v>0.8157894736842104</v>
      </c>
      <c r="M121" s="395">
        <v>38</v>
      </c>
    </row>
    <row r="122" spans="2:25" hidden="1" x14ac:dyDescent="0.2">
      <c r="B122" s="600" t="s">
        <v>521</v>
      </c>
      <c r="C122" s="598">
        <v>0.35</v>
      </c>
      <c r="D122" s="1094">
        <v>0.85</v>
      </c>
      <c r="E122" s="1095"/>
      <c r="F122" s="507"/>
      <c r="G122" s="393">
        <f>(1000/I122)-10</f>
        <v>15.641025641025642</v>
      </c>
      <c r="H122" s="394">
        <f>('SITE DATA'!$F$26-(0.2*G122))^2/('SITE DATA'!$F$26+(0.8*G122))</f>
        <v>0.78205128205128227</v>
      </c>
      <c r="I122" s="395">
        <v>39</v>
      </c>
      <c r="J122" s="394">
        <f>('SITE DATA'!$F$27-(0.2*G122))^2/('SITE DATA'!$F$27+(0.8*G122))</f>
        <v>0.78205128205128227</v>
      </c>
      <c r="K122" s="395">
        <v>39</v>
      </c>
      <c r="L122" s="394">
        <f>('SITE DATA'!$F$28-(0.2*G122))^2/('SITE DATA'!$F$28+(0.8*G122))</f>
        <v>0.78205128205128227</v>
      </c>
      <c r="M122" s="395">
        <v>39</v>
      </c>
    </row>
    <row r="123" spans="2:25" hidden="1" x14ac:dyDescent="0.2">
      <c r="B123" s="600" t="s">
        <v>520</v>
      </c>
      <c r="C123" s="598">
        <v>0.4</v>
      </c>
      <c r="D123" s="1094">
        <v>0.85</v>
      </c>
      <c r="E123" s="1095"/>
      <c r="F123" s="507"/>
      <c r="G123" s="393">
        <f>(1000/I123)-10</f>
        <v>15</v>
      </c>
      <c r="H123" s="394">
        <f>('SITE DATA'!$F$26-(0.2*G123))^2/('SITE DATA'!$F$26+(0.8*G123))</f>
        <v>0.75</v>
      </c>
      <c r="I123" s="395">
        <v>40</v>
      </c>
      <c r="J123" s="394">
        <f>('SITE DATA'!$F$27-(0.2*G123))^2/('SITE DATA'!$F$27+(0.8*G123))</f>
        <v>0.75</v>
      </c>
      <c r="K123" s="395">
        <v>40</v>
      </c>
      <c r="L123" s="394">
        <f>('SITE DATA'!$F$28-(0.2*G123))^2/('SITE DATA'!$F$28+(0.8*G123))</f>
        <v>0.75</v>
      </c>
      <c r="M123" s="395">
        <v>40</v>
      </c>
    </row>
    <row r="124" spans="2:25" hidden="1" x14ac:dyDescent="0.2">
      <c r="B124" s="601" t="s">
        <v>208</v>
      </c>
      <c r="C124" s="598">
        <v>0.4</v>
      </c>
      <c r="D124" s="1094">
        <v>0.85</v>
      </c>
      <c r="E124" s="1095"/>
      <c r="F124" s="507"/>
      <c r="G124" s="393">
        <f>(1000/I124)-10</f>
        <v>14.390243902439025</v>
      </c>
      <c r="H124" s="394">
        <f>('SITE DATA'!$F$26-(0.2*G124))^2/('SITE DATA'!$F$26+(0.8*G124))</f>
        <v>0.71951219512195141</v>
      </c>
      <c r="I124" s="395">
        <v>41</v>
      </c>
      <c r="J124" s="394">
        <f>('SITE DATA'!$F$27-(0.2*G124))^2/('SITE DATA'!$F$27+(0.8*G124))</f>
        <v>0.71951219512195141</v>
      </c>
      <c r="K124" s="395">
        <v>41</v>
      </c>
      <c r="L124" s="394">
        <f>('SITE DATA'!$F$28-(0.2*G124))^2/('SITE DATA'!$F$28+(0.8*G124))</f>
        <v>0.71951219512195141</v>
      </c>
      <c r="M124" s="395">
        <v>41</v>
      </c>
    </row>
    <row r="125" spans="2:25" hidden="1" x14ac:dyDescent="0.2">
      <c r="B125" s="601" t="s">
        <v>51</v>
      </c>
      <c r="C125" s="598">
        <v>0.25</v>
      </c>
      <c r="D125" s="1094">
        <v>0.85</v>
      </c>
      <c r="E125" s="1095"/>
      <c r="F125" s="507"/>
      <c r="G125" s="393">
        <f>(1000/I125)-10</f>
        <v>13.80952380952381</v>
      </c>
      <c r="H125" s="394">
        <f>('SITE DATA'!$F$26-(0.2*G125))^2/('SITE DATA'!$F$26+(0.8*G125))</f>
        <v>0.69047619047619058</v>
      </c>
      <c r="I125" s="395">
        <v>42</v>
      </c>
      <c r="J125" s="394">
        <f>('SITE DATA'!$F$27-(0.2*G125))^2/('SITE DATA'!$F$27+(0.8*G125))</f>
        <v>0.69047619047619058</v>
      </c>
      <c r="K125" s="395">
        <v>42</v>
      </c>
      <c r="L125" s="394">
        <f>('SITE DATA'!$F$28-(0.2*G125))^2/('SITE DATA'!$F$28+(0.8*G125))</f>
        <v>0.69047619047619058</v>
      </c>
      <c r="M125" s="395">
        <v>42</v>
      </c>
    </row>
    <row r="126" spans="2:25" hidden="1" x14ac:dyDescent="0.2">
      <c r="B126" s="601" t="s">
        <v>209</v>
      </c>
      <c r="C126" s="598">
        <v>0.35</v>
      </c>
      <c r="D126" s="1094">
        <v>0.85</v>
      </c>
      <c r="E126" s="1095"/>
      <c r="F126" s="507"/>
      <c r="G126" s="393">
        <f t="shared" ref="G126:G181" si="6">(1000/I126)-10</f>
        <v>13.255813953488371</v>
      </c>
      <c r="H126" s="394">
        <f>('SITE DATA'!$F$26-(0.2*G126))^2/('SITE DATA'!$F$26+(0.8*G126))</f>
        <v>0.66279069767441856</v>
      </c>
      <c r="I126" s="395">
        <v>43</v>
      </c>
      <c r="J126" s="394">
        <f>('SITE DATA'!$F$27-(0.2*G126))^2/('SITE DATA'!$F$27+(0.8*G126))</f>
        <v>0.66279069767441856</v>
      </c>
      <c r="K126" s="395">
        <v>43</v>
      </c>
      <c r="L126" s="394">
        <f>('SITE DATA'!$F$28-(0.2*G126))^2/('SITE DATA'!$F$28+(0.8*G126))</f>
        <v>0.66279069767441856</v>
      </c>
      <c r="M126" s="395">
        <v>43</v>
      </c>
    </row>
    <row r="127" spans="2:25" hidden="1" x14ac:dyDescent="0.2">
      <c r="B127" s="601" t="s">
        <v>210</v>
      </c>
      <c r="C127" s="598">
        <v>0.2</v>
      </c>
      <c r="D127" s="1094">
        <v>0.35</v>
      </c>
      <c r="E127" s="1095"/>
      <c r="F127" s="507"/>
      <c r="G127" s="393">
        <f t="shared" si="6"/>
        <v>12.727272727272727</v>
      </c>
      <c r="H127" s="394">
        <f>('SITE DATA'!$F$26-(0.2*G127))^2/('SITE DATA'!$F$26+(0.8*G127))</f>
        <v>0.63636363636363635</v>
      </c>
      <c r="I127" s="395">
        <v>44</v>
      </c>
      <c r="J127" s="394">
        <f>('SITE DATA'!$F$27-(0.2*G127))^2/('SITE DATA'!$F$27+(0.8*G127))</f>
        <v>0.63636363636363635</v>
      </c>
      <c r="K127" s="395">
        <v>44</v>
      </c>
      <c r="L127" s="394">
        <f>('SITE DATA'!$F$28-(0.2*G127))^2/('SITE DATA'!$F$28+(0.8*G127))</f>
        <v>0.63636363636363635</v>
      </c>
      <c r="M127" s="395">
        <v>44</v>
      </c>
    </row>
    <row r="128" spans="2:25" hidden="1" x14ac:dyDescent="0.2">
      <c r="B128" s="601" t="s">
        <v>52</v>
      </c>
      <c r="C128" s="598">
        <v>0.2</v>
      </c>
      <c r="D128" s="1094">
        <v>0.35</v>
      </c>
      <c r="E128" s="1095"/>
      <c r="F128" s="507"/>
      <c r="G128" s="393">
        <f t="shared" si="6"/>
        <v>12.222222222222221</v>
      </c>
      <c r="H128" s="394">
        <f>('SITE DATA'!$F$26-(0.2*G128))^2/('SITE DATA'!$F$26+(0.8*G128))</f>
        <v>0.61111111111111116</v>
      </c>
      <c r="I128" s="395">
        <v>45</v>
      </c>
      <c r="J128" s="394">
        <f>('SITE DATA'!$F$27-(0.2*G128))^2/('SITE DATA'!$F$27+(0.8*G128))</f>
        <v>0.61111111111111116</v>
      </c>
      <c r="K128" s="395">
        <v>45</v>
      </c>
      <c r="L128" s="394">
        <f>('SITE DATA'!$F$28-(0.2*G128))^2/('SITE DATA'!$F$28+(0.8*G128))</f>
        <v>0.61111111111111116</v>
      </c>
      <c r="M128" s="395">
        <v>45</v>
      </c>
    </row>
    <row r="129" spans="2:13" hidden="1" x14ac:dyDescent="0.2">
      <c r="B129" s="601" t="s">
        <v>211</v>
      </c>
      <c r="C129" s="598">
        <v>0.3</v>
      </c>
      <c r="D129" s="1094">
        <v>0.6</v>
      </c>
      <c r="E129" s="1095"/>
      <c r="F129" s="507"/>
      <c r="G129" s="393">
        <f t="shared" si="6"/>
        <v>11.739130434782609</v>
      </c>
      <c r="H129" s="394">
        <f>('SITE DATA'!$F$26-(0.2*G129))^2/('SITE DATA'!$F$26+(0.8*G129))</f>
        <v>0.58695652173913049</v>
      </c>
      <c r="I129" s="395">
        <v>46</v>
      </c>
      <c r="J129" s="394">
        <f>('SITE DATA'!$F$27-(0.2*G129))^2/('SITE DATA'!$F$27+(0.8*G129))</f>
        <v>0.58695652173913049</v>
      </c>
      <c r="K129" s="395">
        <v>46</v>
      </c>
      <c r="L129" s="394">
        <f>('SITE DATA'!$F$28-(0.2*G129))^2/('SITE DATA'!$F$28+(0.8*G129))</f>
        <v>0.58695652173913049</v>
      </c>
      <c r="M129" s="395">
        <v>46</v>
      </c>
    </row>
    <row r="130" spans="2:13" hidden="1" x14ac:dyDescent="0.2">
      <c r="B130" s="601" t="s">
        <v>212</v>
      </c>
      <c r="C130" s="598">
        <v>0.3</v>
      </c>
      <c r="D130" s="1094">
        <v>0.85</v>
      </c>
      <c r="E130" s="1095"/>
      <c r="F130" s="507"/>
      <c r="G130" s="393">
        <f t="shared" si="6"/>
        <v>11.276595744680851</v>
      </c>
      <c r="H130" s="394">
        <f>('SITE DATA'!$F$26-(0.2*G130))^2/('SITE DATA'!$F$26+(0.8*G130))</f>
        <v>0.56382978723404253</v>
      </c>
      <c r="I130" s="395">
        <v>47</v>
      </c>
      <c r="J130" s="394">
        <f>('SITE DATA'!$F$27-(0.2*G130))^2/('SITE DATA'!$F$27+(0.8*G130))</f>
        <v>0.56382978723404253</v>
      </c>
      <c r="K130" s="395">
        <v>47</v>
      </c>
      <c r="L130" s="394">
        <f>('SITE DATA'!$F$28-(0.2*G130))^2/('SITE DATA'!$F$28+(0.8*G130))</f>
        <v>0.56382978723404253</v>
      </c>
      <c r="M130" s="395">
        <v>47</v>
      </c>
    </row>
    <row r="131" spans="2:13" hidden="1" x14ac:dyDescent="0.2">
      <c r="B131" s="601" t="s">
        <v>213</v>
      </c>
      <c r="C131" s="598">
        <v>0.1</v>
      </c>
      <c r="D131" s="1094">
        <v>0.5</v>
      </c>
      <c r="E131" s="1095"/>
      <c r="F131" s="507"/>
      <c r="G131" s="393">
        <f t="shared" si="6"/>
        <v>10.833333333333332</v>
      </c>
      <c r="H131" s="394">
        <f>('SITE DATA'!$F$26-(0.2*G131))^2/('SITE DATA'!$F$26+(0.8*G131))</f>
        <v>0.54166666666666663</v>
      </c>
      <c r="I131" s="395">
        <f>48</f>
        <v>48</v>
      </c>
      <c r="J131" s="394">
        <f>('SITE DATA'!$F$27-(0.2*G131))^2/('SITE DATA'!$F$27+(0.8*G131))</f>
        <v>0.54166666666666663</v>
      </c>
      <c r="K131" s="395">
        <f>48</f>
        <v>48</v>
      </c>
      <c r="L131" s="394">
        <f>('SITE DATA'!$F$28-(0.2*G131))^2/('SITE DATA'!$F$28+(0.8*G131))</f>
        <v>0.54166666666666663</v>
      </c>
      <c r="M131" s="395">
        <f>48</f>
        <v>48</v>
      </c>
    </row>
    <row r="132" spans="2:13" hidden="1" x14ac:dyDescent="0.2">
      <c r="B132" s="601" t="s">
        <v>53</v>
      </c>
      <c r="C132" s="598">
        <v>0</v>
      </c>
      <c r="D132" s="1094">
        <v>0</v>
      </c>
      <c r="E132" s="1095"/>
      <c r="F132" s="507"/>
      <c r="G132" s="393">
        <f t="shared" si="6"/>
        <v>10.408163265306122</v>
      </c>
      <c r="H132" s="394">
        <f>('SITE DATA'!$F$26-(0.2*G132))^2/('SITE DATA'!$F$26+(0.8*G132))</f>
        <v>0.52040816326530615</v>
      </c>
      <c r="I132" s="395">
        <f t="shared" ref="I132:I181" si="7">I131+1</f>
        <v>49</v>
      </c>
      <c r="J132" s="394">
        <f>('SITE DATA'!$F$27-(0.2*G132))^2/('SITE DATA'!$F$27+(0.8*G132))</f>
        <v>0.52040816326530615</v>
      </c>
      <c r="K132" s="395">
        <f t="shared" ref="K132:K181" si="8">K131+1</f>
        <v>49</v>
      </c>
      <c r="L132" s="394">
        <f>('SITE DATA'!$F$28-(0.2*G132))^2/('SITE DATA'!$F$28+(0.8*G132))</f>
        <v>0.52040816326530615</v>
      </c>
      <c r="M132" s="395">
        <f t="shared" ref="M132:M181" si="9">M131+1</f>
        <v>49</v>
      </c>
    </row>
    <row r="133" spans="2:13" hidden="1" x14ac:dyDescent="0.2">
      <c r="B133" s="601" t="s">
        <v>579</v>
      </c>
      <c r="C133" s="598">
        <v>0</v>
      </c>
      <c r="D133" s="1094">
        <v>0</v>
      </c>
      <c r="E133" s="1095"/>
      <c r="F133" s="507"/>
      <c r="G133" s="393">
        <f>(1000/I133)-10</f>
        <v>10</v>
      </c>
      <c r="H133" s="394">
        <f>('SITE DATA'!$F$26-(0.2*G133))^2/('SITE DATA'!$F$26+(0.8*G133))</f>
        <v>0.5</v>
      </c>
      <c r="I133" s="395">
        <f t="shared" si="7"/>
        <v>50</v>
      </c>
      <c r="J133" s="394">
        <f>('SITE DATA'!$F$27-(0.2*G133))^2/('SITE DATA'!$F$27+(0.8*G133))</f>
        <v>0.5</v>
      </c>
      <c r="K133" s="395">
        <f t="shared" si="8"/>
        <v>50</v>
      </c>
      <c r="L133" s="394">
        <f>('SITE DATA'!$F$28-(0.2*G133))^2/('SITE DATA'!$F$28+(0.8*G133))</f>
        <v>0.5</v>
      </c>
      <c r="M133" s="395">
        <f t="shared" si="9"/>
        <v>50</v>
      </c>
    </row>
    <row r="134" spans="2:13" ht="15.75" hidden="1" thickBot="1" x14ac:dyDescent="0.25">
      <c r="B134" s="602" t="s">
        <v>564</v>
      </c>
      <c r="C134" s="604">
        <f>IF(C13="Yes",G13,F134)</f>
        <v>1</v>
      </c>
      <c r="D134" s="1036" t="s">
        <v>563</v>
      </c>
      <c r="E134" s="1037"/>
      <c r="F134" s="616">
        <v>1</v>
      </c>
      <c r="G134" s="393">
        <f t="shared" si="6"/>
        <v>9.6078431372549034</v>
      </c>
      <c r="H134" s="394">
        <f>('SITE DATA'!$F$26-(0.2*G134))^2/('SITE DATA'!$F$26+(0.8*G134))</f>
        <v>0.48039215686274517</v>
      </c>
      <c r="I134" s="395">
        <f t="shared" si="7"/>
        <v>51</v>
      </c>
      <c r="J134" s="394">
        <f>('SITE DATA'!$F$27-(0.2*G134))^2/('SITE DATA'!$F$27+(0.8*G134))</f>
        <v>0.48039215686274517</v>
      </c>
      <c r="K134" s="395">
        <f t="shared" si="8"/>
        <v>51</v>
      </c>
      <c r="L134" s="394">
        <f>('SITE DATA'!$F$28-(0.2*G134))^2/('SITE DATA'!$F$28+(0.8*G134))</f>
        <v>0.48039215686274517</v>
      </c>
      <c r="M134" s="395">
        <f t="shared" si="9"/>
        <v>51</v>
      </c>
    </row>
    <row r="135" spans="2:13" hidden="1" x14ac:dyDescent="0.2">
      <c r="B135" s="514"/>
      <c r="C135" s="514"/>
      <c r="D135" s="507"/>
      <c r="E135" s="507"/>
      <c r="F135" s="507"/>
      <c r="G135" s="393">
        <f t="shared" si="6"/>
        <v>9.2307692307692299</v>
      </c>
      <c r="H135" s="394">
        <f>('SITE DATA'!$F$26-(0.2*G135))^2/('SITE DATA'!$F$26+(0.8*G135))</f>
        <v>0.46153846153846151</v>
      </c>
      <c r="I135" s="395">
        <f t="shared" si="7"/>
        <v>52</v>
      </c>
      <c r="J135" s="394">
        <f>('SITE DATA'!$F$27-(0.2*G135))^2/('SITE DATA'!$F$27+(0.8*G135))</f>
        <v>0.46153846153846151</v>
      </c>
      <c r="K135" s="395">
        <f t="shared" si="8"/>
        <v>52</v>
      </c>
      <c r="L135" s="394">
        <f>('SITE DATA'!$F$28-(0.2*G135))^2/('SITE DATA'!$F$28+(0.8*G135))</f>
        <v>0.46153846153846151</v>
      </c>
      <c r="M135" s="395">
        <f t="shared" si="9"/>
        <v>52</v>
      </c>
    </row>
    <row r="136" spans="2:13" hidden="1" x14ac:dyDescent="0.2">
      <c r="B136" s="514"/>
      <c r="C136" s="514"/>
      <c r="D136" s="507"/>
      <c r="E136" s="396"/>
      <c r="F136" s="507"/>
      <c r="G136" s="393">
        <f t="shared" si="6"/>
        <v>8.8679245283018879</v>
      </c>
      <c r="H136" s="394">
        <f>('SITE DATA'!$F$26-(0.2*G136))^2/('SITE DATA'!$F$26+(0.8*G136))</f>
        <v>0.44339622641509441</v>
      </c>
      <c r="I136" s="395">
        <f t="shared" si="7"/>
        <v>53</v>
      </c>
      <c r="J136" s="394">
        <f>('SITE DATA'!$F$27-(0.2*G136))^2/('SITE DATA'!$F$27+(0.8*G136))</f>
        <v>0.44339622641509441</v>
      </c>
      <c r="K136" s="395">
        <f t="shared" si="8"/>
        <v>53</v>
      </c>
      <c r="L136" s="394">
        <f>('SITE DATA'!$F$28-(0.2*G136))^2/('SITE DATA'!$F$28+(0.8*G136))</f>
        <v>0.44339622641509441</v>
      </c>
      <c r="M136" s="395">
        <f t="shared" si="9"/>
        <v>53</v>
      </c>
    </row>
    <row r="137" spans="2:13" hidden="1" x14ac:dyDescent="0.2">
      <c r="B137" s="507"/>
      <c r="C137" s="507"/>
      <c r="D137" s="507"/>
      <c r="E137" s="507"/>
      <c r="F137" s="507"/>
      <c r="G137" s="393">
        <f t="shared" si="6"/>
        <v>8.518518518518519</v>
      </c>
      <c r="H137" s="394">
        <f>('SITE DATA'!$F$26-(0.2*G137))^2/('SITE DATA'!$F$26+(0.8*G137))</f>
        <v>0.42592592592592599</v>
      </c>
      <c r="I137" s="395">
        <f t="shared" si="7"/>
        <v>54</v>
      </c>
      <c r="J137" s="394">
        <f>('SITE DATA'!$F$27-(0.2*G137))^2/('SITE DATA'!$F$27+(0.8*G137))</f>
        <v>0.42592592592592599</v>
      </c>
      <c r="K137" s="395">
        <f t="shared" si="8"/>
        <v>54</v>
      </c>
      <c r="L137" s="394">
        <f>('SITE DATA'!$F$28-(0.2*G137))^2/('SITE DATA'!$F$28+(0.8*G137))</f>
        <v>0.42592592592592599</v>
      </c>
      <c r="M137" s="395">
        <f t="shared" si="9"/>
        <v>54</v>
      </c>
    </row>
    <row r="138" spans="2:13" hidden="1" x14ac:dyDescent="0.2">
      <c r="B138" s="507"/>
      <c r="C138" s="507"/>
      <c r="D138" s="507"/>
      <c r="E138" s="507"/>
      <c r="F138" s="396"/>
      <c r="G138" s="393">
        <f t="shared" si="6"/>
        <v>8.1818181818181834</v>
      </c>
      <c r="H138" s="394">
        <f>('SITE DATA'!$F$26-(0.2*G138))^2/('SITE DATA'!$F$26+(0.8*G138))</f>
        <v>0.40909090909090912</v>
      </c>
      <c r="I138" s="395">
        <f t="shared" si="7"/>
        <v>55</v>
      </c>
      <c r="J138" s="394">
        <f>('SITE DATA'!$F$27-(0.2*G138))^2/('SITE DATA'!$F$27+(0.8*G138))</f>
        <v>0.40909090909090912</v>
      </c>
      <c r="K138" s="395">
        <f t="shared" si="8"/>
        <v>55</v>
      </c>
      <c r="L138" s="394">
        <f>('SITE DATA'!$F$28-(0.2*G138))^2/('SITE DATA'!$F$28+(0.8*G138))</f>
        <v>0.40909090909090912</v>
      </c>
      <c r="M138" s="395">
        <f t="shared" si="9"/>
        <v>55</v>
      </c>
    </row>
    <row r="139" spans="2:13" hidden="1" x14ac:dyDescent="0.2">
      <c r="B139" s="507"/>
      <c r="C139" s="507"/>
      <c r="D139" s="507"/>
      <c r="E139" s="507"/>
      <c r="F139" s="507"/>
      <c r="G139" s="393">
        <f t="shared" si="6"/>
        <v>7.8571428571428577</v>
      </c>
      <c r="H139" s="394">
        <f>('SITE DATA'!$F$26-(0.2*G139))^2/('SITE DATA'!$F$26+(0.8*G139))</f>
        <v>0.3928571428571429</v>
      </c>
      <c r="I139" s="395">
        <f t="shared" si="7"/>
        <v>56</v>
      </c>
      <c r="J139" s="394">
        <f>('SITE DATA'!$F$27-(0.2*G139))^2/('SITE DATA'!$F$27+(0.8*G139))</f>
        <v>0.3928571428571429</v>
      </c>
      <c r="K139" s="395">
        <f t="shared" si="8"/>
        <v>56</v>
      </c>
      <c r="L139" s="394">
        <f>('SITE DATA'!$F$28-(0.2*G139))^2/('SITE DATA'!$F$28+(0.8*G139))</f>
        <v>0.3928571428571429</v>
      </c>
      <c r="M139" s="395">
        <f t="shared" si="9"/>
        <v>56</v>
      </c>
    </row>
    <row r="140" spans="2:13" hidden="1" x14ac:dyDescent="0.2">
      <c r="B140" s="507"/>
      <c r="C140" s="507"/>
      <c r="D140" s="507"/>
      <c r="E140" s="507"/>
      <c r="F140" s="507"/>
      <c r="G140" s="393">
        <f t="shared" si="6"/>
        <v>7.5438596491228083</v>
      </c>
      <c r="H140" s="394">
        <f>('SITE DATA'!$F$26-(0.2*G140))^2/('SITE DATA'!$F$26+(0.8*G140))</f>
        <v>0.37719298245614041</v>
      </c>
      <c r="I140" s="395">
        <f t="shared" si="7"/>
        <v>57</v>
      </c>
      <c r="J140" s="394">
        <f>('SITE DATA'!$F$27-(0.2*G140))^2/('SITE DATA'!$F$27+(0.8*G140))</f>
        <v>0.37719298245614041</v>
      </c>
      <c r="K140" s="395">
        <f t="shared" si="8"/>
        <v>57</v>
      </c>
      <c r="L140" s="394">
        <f>('SITE DATA'!$F$28-(0.2*G140))^2/('SITE DATA'!$F$28+(0.8*G140))</f>
        <v>0.37719298245614041</v>
      </c>
      <c r="M140" s="395">
        <f t="shared" si="9"/>
        <v>57</v>
      </c>
    </row>
    <row r="141" spans="2:13" hidden="1" x14ac:dyDescent="0.2">
      <c r="B141" s="507"/>
      <c r="C141" s="507"/>
      <c r="D141" s="507"/>
      <c r="E141" s="507"/>
      <c r="F141" s="507"/>
      <c r="G141" s="393">
        <f t="shared" si="6"/>
        <v>7.2413793103448292</v>
      </c>
      <c r="H141" s="394">
        <f>('SITE DATA'!$F$26-(0.2*G141))^2/('SITE DATA'!$F$26+(0.8*G141))</f>
        <v>0.36206896551724144</v>
      </c>
      <c r="I141" s="395">
        <f t="shared" si="7"/>
        <v>58</v>
      </c>
      <c r="J141" s="394">
        <f>('SITE DATA'!$F$27-(0.2*G141))^2/('SITE DATA'!$F$27+(0.8*G141))</f>
        <v>0.36206896551724144</v>
      </c>
      <c r="K141" s="395">
        <f t="shared" si="8"/>
        <v>58</v>
      </c>
      <c r="L141" s="394">
        <f>('SITE DATA'!$F$28-(0.2*G141))^2/('SITE DATA'!$F$28+(0.8*G141))</f>
        <v>0.36206896551724144</v>
      </c>
      <c r="M141" s="395">
        <f t="shared" si="9"/>
        <v>58</v>
      </c>
    </row>
    <row r="142" spans="2:13" ht="15.75" hidden="1" thickBot="1" x14ac:dyDescent="0.25">
      <c r="B142" s="507"/>
      <c r="C142" s="507"/>
      <c r="D142" s="507"/>
      <c r="E142" s="507"/>
      <c r="F142" s="507"/>
      <c r="G142" s="393">
        <f t="shared" si="6"/>
        <v>6.9491525423728824</v>
      </c>
      <c r="H142" s="394">
        <f>('SITE DATA'!$F$26-(0.2*G142))^2/('SITE DATA'!$F$26+(0.8*G142))</f>
        <v>0.34745762711864414</v>
      </c>
      <c r="I142" s="395">
        <f t="shared" si="7"/>
        <v>59</v>
      </c>
      <c r="J142" s="394">
        <f>('SITE DATA'!$F$27-(0.2*G142))^2/('SITE DATA'!$F$27+(0.8*G142))</f>
        <v>0.34745762711864414</v>
      </c>
      <c r="K142" s="395">
        <f t="shared" si="8"/>
        <v>59</v>
      </c>
      <c r="L142" s="394">
        <f>('SITE DATA'!$F$28-(0.2*G142))^2/('SITE DATA'!$F$28+(0.8*G142))</f>
        <v>0.34745762711864414</v>
      </c>
      <c r="M142" s="395">
        <f t="shared" si="9"/>
        <v>59</v>
      </c>
    </row>
    <row r="143" spans="2:13" ht="16.5" hidden="1" thickBot="1" x14ac:dyDescent="0.3">
      <c r="B143" s="612" t="s">
        <v>532</v>
      </c>
      <c r="C143" s="543"/>
      <c r="D143" s="544"/>
      <c r="E143" s="507"/>
      <c r="F143" s="507"/>
      <c r="G143" s="393">
        <f t="shared" si="6"/>
        <v>6.6666666666666679</v>
      </c>
      <c r="H143" s="394">
        <f>('SITE DATA'!$F$26-(0.2*G143))^2/('SITE DATA'!$F$26+(0.8*G143))</f>
        <v>0.33333333333333343</v>
      </c>
      <c r="I143" s="395">
        <f t="shared" si="7"/>
        <v>60</v>
      </c>
      <c r="J143" s="394">
        <f>('SITE DATA'!$F$27-(0.2*G143))^2/('SITE DATA'!$F$27+(0.8*G143))</f>
        <v>0.33333333333333343</v>
      </c>
      <c r="K143" s="395">
        <f t="shared" si="8"/>
        <v>60</v>
      </c>
      <c r="L143" s="394">
        <f>('SITE DATA'!$F$28-(0.2*G143))^2/('SITE DATA'!$F$28+(0.8*G143))</f>
        <v>0.33333333333333343</v>
      </c>
      <c r="M143" s="395">
        <f t="shared" si="9"/>
        <v>60</v>
      </c>
    </row>
    <row r="144" spans="2:13" hidden="1" x14ac:dyDescent="0.2">
      <c r="B144" s="530"/>
      <c r="C144" s="512"/>
      <c r="D144" s="522"/>
      <c r="E144" s="507"/>
      <c r="F144" s="507"/>
      <c r="G144" s="393">
        <f t="shared" si="6"/>
        <v>6.3934426229508183</v>
      </c>
      <c r="H144" s="394">
        <f>('SITE DATA'!$F$26-(0.2*G144))^2/('SITE DATA'!$F$26+(0.8*G144))</f>
        <v>0.31967213114754095</v>
      </c>
      <c r="I144" s="395">
        <f t="shared" si="7"/>
        <v>61</v>
      </c>
      <c r="J144" s="394">
        <f>('SITE DATA'!$F$27-(0.2*G144))^2/('SITE DATA'!$F$27+(0.8*G144))</f>
        <v>0.31967213114754095</v>
      </c>
      <c r="K144" s="395">
        <f t="shared" si="8"/>
        <v>61</v>
      </c>
      <c r="L144" s="394">
        <f>('SITE DATA'!$F$28-(0.2*G144))^2/('SITE DATA'!$F$28+(0.8*G144))</f>
        <v>0.31967213114754095</v>
      </c>
      <c r="M144" s="395">
        <f t="shared" si="9"/>
        <v>61</v>
      </c>
    </row>
    <row r="145" spans="2:13" ht="19.5" hidden="1" x14ac:dyDescent="0.35">
      <c r="B145" s="509" t="s">
        <v>534</v>
      </c>
      <c r="C145" s="506"/>
      <c r="D145" s="513"/>
      <c r="E145" s="507"/>
      <c r="F145" s="507"/>
      <c r="G145" s="393">
        <f t="shared" si="6"/>
        <v>6.129032258064516</v>
      </c>
      <c r="H145" s="394">
        <f>('SITE DATA'!$F$26-(0.2*G145))^2/('SITE DATA'!$F$26+(0.8*G145))</f>
        <v>0.30645161290322581</v>
      </c>
      <c r="I145" s="395">
        <f t="shared" si="7"/>
        <v>62</v>
      </c>
      <c r="J145" s="394">
        <f>('SITE DATA'!$F$27-(0.2*G145))^2/('SITE DATA'!$F$27+(0.8*G145))</f>
        <v>0.30645161290322581</v>
      </c>
      <c r="K145" s="395">
        <f t="shared" si="8"/>
        <v>62</v>
      </c>
      <c r="L145" s="394">
        <f>('SITE DATA'!$F$28-(0.2*G145))^2/('SITE DATA'!$F$28+(0.8*G145))</f>
        <v>0.30645161290322581</v>
      </c>
      <c r="M145" s="395">
        <f t="shared" si="9"/>
        <v>62</v>
      </c>
    </row>
    <row r="146" spans="2:13" hidden="1" x14ac:dyDescent="0.2">
      <c r="B146" s="509" t="s">
        <v>535</v>
      </c>
      <c r="C146" s="506"/>
      <c r="D146" s="513"/>
      <c r="E146" s="507"/>
      <c r="F146" s="507"/>
      <c r="G146" s="393">
        <f t="shared" si="6"/>
        <v>5.8730158730158735</v>
      </c>
      <c r="H146" s="394">
        <f>('SITE DATA'!$F$26-(0.2*G146))^2/('SITE DATA'!$F$26+(0.8*G146))</f>
        <v>0.29365079365079366</v>
      </c>
      <c r="I146" s="395">
        <f t="shared" si="7"/>
        <v>63</v>
      </c>
      <c r="J146" s="394">
        <f>('SITE DATA'!$F$27-(0.2*G146))^2/('SITE DATA'!$F$27+(0.8*G146))</f>
        <v>0.29365079365079366</v>
      </c>
      <c r="K146" s="395">
        <f t="shared" si="8"/>
        <v>63</v>
      </c>
      <c r="L146" s="394">
        <f>('SITE DATA'!$F$28-(0.2*G146))^2/('SITE DATA'!$F$28+(0.8*G146))</f>
        <v>0.29365079365079366</v>
      </c>
      <c r="M146" s="395">
        <f t="shared" si="9"/>
        <v>63</v>
      </c>
    </row>
    <row r="147" spans="2:13" hidden="1" x14ac:dyDescent="0.2">
      <c r="B147" s="509" t="s">
        <v>539</v>
      </c>
      <c r="C147" s="506"/>
      <c r="D147" s="513"/>
      <c r="E147" s="507"/>
      <c r="F147" s="507"/>
      <c r="G147" s="393">
        <f t="shared" si="6"/>
        <v>5.625</v>
      </c>
      <c r="H147" s="394">
        <f>('SITE DATA'!$F$26-(0.2*G147))^2/('SITE DATA'!$F$26+(0.8*G147))</f>
        <v>0.28125</v>
      </c>
      <c r="I147" s="395">
        <f t="shared" si="7"/>
        <v>64</v>
      </c>
      <c r="J147" s="394">
        <f>('SITE DATA'!$F$27-(0.2*G147))^2/('SITE DATA'!$F$27+(0.8*G147))</f>
        <v>0.28125</v>
      </c>
      <c r="K147" s="395">
        <f t="shared" si="8"/>
        <v>64</v>
      </c>
      <c r="L147" s="394">
        <f>('SITE DATA'!$F$28-(0.2*G147))^2/('SITE DATA'!$F$28+(0.8*G147))</f>
        <v>0.28125</v>
      </c>
      <c r="M147" s="395">
        <f t="shared" si="9"/>
        <v>64</v>
      </c>
    </row>
    <row r="148" spans="2:13" ht="19.5" hidden="1" x14ac:dyDescent="0.35">
      <c r="B148" s="509" t="s">
        <v>541</v>
      </c>
      <c r="C148" s="506"/>
      <c r="D148" s="513"/>
      <c r="E148" s="507"/>
      <c r="F148" s="507"/>
      <c r="G148" s="393">
        <f t="shared" si="6"/>
        <v>5.384615384615385</v>
      </c>
      <c r="H148" s="394">
        <f>('SITE DATA'!$F$26-(0.2*G148))^2/('SITE DATA'!$F$26+(0.8*G148))</f>
        <v>0.26923076923076927</v>
      </c>
      <c r="I148" s="395">
        <f t="shared" si="7"/>
        <v>65</v>
      </c>
      <c r="J148" s="394">
        <f>('SITE DATA'!$F$27-(0.2*G148))^2/('SITE DATA'!$F$27+(0.8*G148))</f>
        <v>0.26923076923076927</v>
      </c>
      <c r="K148" s="395">
        <f t="shared" si="8"/>
        <v>65</v>
      </c>
      <c r="L148" s="394">
        <f>('SITE DATA'!$F$28-(0.2*G148))^2/('SITE DATA'!$F$28+(0.8*G148))</f>
        <v>0.26923076923076927</v>
      </c>
      <c r="M148" s="395">
        <f t="shared" si="9"/>
        <v>65</v>
      </c>
    </row>
    <row r="149" spans="2:13" hidden="1" x14ac:dyDescent="0.2">
      <c r="B149" s="538"/>
      <c r="C149" s="511" t="s">
        <v>543</v>
      </c>
      <c r="D149" s="613" t="e">
        <f>(SUM(D25:E25))/SUM(D17:M25)</f>
        <v>#DIV/0!</v>
      </c>
      <c r="E149" s="507"/>
      <c r="F149" s="507"/>
      <c r="G149" s="393">
        <f t="shared" si="6"/>
        <v>5.1515151515151523</v>
      </c>
      <c r="H149" s="394">
        <f>('SITE DATA'!$F$26-(0.2*G149))^2/('SITE DATA'!$F$26+(0.8*G149))</f>
        <v>0.25757575757575762</v>
      </c>
      <c r="I149" s="395">
        <f t="shared" si="7"/>
        <v>66</v>
      </c>
      <c r="J149" s="394">
        <f>('SITE DATA'!$F$27-(0.2*G149))^2/('SITE DATA'!$F$27+(0.8*G149))</f>
        <v>0.25757575757575762</v>
      </c>
      <c r="K149" s="395">
        <f t="shared" si="8"/>
        <v>66</v>
      </c>
      <c r="L149" s="394">
        <f>('SITE DATA'!$F$28-(0.2*G149))^2/('SITE DATA'!$F$28+(0.8*G149))</f>
        <v>0.25757575757575762</v>
      </c>
      <c r="M149" s="395">
        <f t="shared" si="9"/>
        <v>66</v>
      </c>
    </row>
    <row r="150" spans="2:13" ht="24" hidden="1" thickBot="1" x14ac:dyDescent="0.4">
      <c r="B150" s="540" t="s">
        <v>569</v>
      </c>
      <c r="C150" s="511" t="s">
        <v>547</v>
      </c>
      <c r="D150" s="539" t="e">
        <f>0.05+(0.9*D149)</f>
        <v>#DIV/0!</v>
      </c>
      <c r="E150" s="507" t="s">
        <v>726</v>
      </c>
      <c r="F150" s="507"/>
      <c r="G150" s="393">
        <f t="shared" si="6"/>
        <v>4.9253731343283587</v>
      </c>
      <c r="H150" s="394">
        <f>('SITE DATA'!$F$26-(0.2*G150))^2/('SITE DATA'!$F$26+(0.8*G150))</f>
        <v>0.24626865671641796</v>
      </c>
      <c r="I150" s="395">
        <f t="shared" si="7"/>
        <v>67</v>
      </c>
      <c r="J150" s="394">
        <f>('SITE DATA'!$F$27-(0.2*G150))^2/('SITE DATA'!$F$27+(0.8*G150))</f>
        <v>0.24626865671641796</v>
      </c>
      <c r="K150" s="395">
        <f t="shared" si="8"/>
        <v>67</v>
      </c>
      <c r="L150" s="394">
        <f>('SITE DATA'!$F$28-(0.2*G150))^2/('SITE DATA'!$F$28+(0.8*G150))</f>
        <v>0.24626865671641796</v>
      </c>
      <c r="M150" s="395">
        <f t="shared" si="9"/>
        <v>67</v>
      </c>
    </row>
    <row r="151" spans="2:13" ht="24" hidden="1" thickBot="1" x14ac:dyDescent="0.4">
      <c r="B151" s="540"/>
      <c r="C151" s="534" t="s">
        <v>549</v>
      </c>
      <c r="D151" s="535" t="e">
        <f>3630*1*D150*SUM(D17:E25)</f>
        <v>#DIV/0!</v>
      </c>
      <c r="E151" s="615" t="e">
        <f>D151</f>
        <v>#DIV/0!</v>
      </c>
      <c r="F151" s="507"/>
      <c r="G151" s="393">
        <f t="shared" si="6"/>
        <v>4.7058823529411757</v>
      </c>
      <c r="H151" s="394">
        <f>('SITE DATA'!$F$26-(0.2*G151))^2/('SITE DATA'!$F$26+(0.8*G151))</f>
        <v>0.23529411764705879</v>
      </c>
      <c r="I151" s="395">
        <f t="shared" si="7"/>
        <v>68</v>
      </c>
      <c r="J151" s="394">
        <f>('SITE DATA'!$F$27-(0.2*G151))^2/('SITE DATA'!$F$27+(0.8*G151))</f>
        <v>0.23529411764705879</v>
      </c>
      <c r="K151" s="395">
        <f t="shared" si="8"/>
        <v>68</v>
      </c>
      <c r="L151" s="394">
        <f>('SITE DATA'!$F$28-(0.2*G151))^2/('SITE DATA'!$F$28+(0.8*G151))</f>
        <v>0.23529411764705879</v>
      </c>
      <c r="M151" s="395">
        <f t="shared" si="9"/>
        <v>68</v>
      </c>
    </row>
    <row r="152" spans="2:13" ht="15.75" hidden="1" thickBot="1" x14ac:dyDescent="0.25">
      <c r="B152" s="541"/>
      <c r="C152" s="537"/>
      <c r="D152" s="531"/>
      <c r="E152" s="507"/>
      <c r="F152" s="507"/>
      <c r="G152" s="393">
        <f t="shared" si="6"/>
        <v>4.4927536231884062</v>
      </c>
      <c r="H152" s="394">
        <f>('SITE DATA'!$F$26-(0.2*G152))^2/('SITE DATA'!$F$26+(0.8*G152))</f>
        <v>0.22463768115942032</v>
      </c>
      <c r="I152" s="395">
        <f t="shared" si="7"/>
        <v>69</v>
      </c>
      <c r="J152" s="394">
        <f>('SITE DATA'!$F$27-(0.2*G152))^2/('SITE DATA'!$F$27+(0.8*G152))</f>
        <v>0.22463768115942032</v>
      </c>
      <c r="K152" s="395">
        <f t="shared" si="8"/>
        <v>69</v>
      </c>
      <c r="L152" s="394">
        <f>('SITE DATA'!$F$28-(0.2*G152))^2/('SITE DATA'!$F$28+(0.8*G152))</f>
        <v>0.22463768115942032</v>
      </c>
      <c r="M152" s="395">
        <f t="shared" si="9"/>
        <v>69</v>
      </c>
    </row>
    <row r="153" spans="2:13" hidden="1" x14ac:dyDescent="0.2">
      <c r="B153" s="538"/>
      <c r="C153" s="511" t="s">
        <v>543</v>
      </c>
      <c r="D153" s="613" t="e">
        <f>(SUM(F25:G25))/SUM(D17:M25)</f>
        <v>#DIV/0!</v>
      </c>
      <c r="E153" s="507"/>
      <c r="F153" s="507"/>
      <c r="G153" s="393">
        <f t="shared" si="6"/>
        <v>4.2857142857142865</v>
      </c>
      <c r="H153" s="394">
        <f>('SITE DATA'!$F$26-(0.2*G153))^2/('SITE DATA'!$F$26+(0.8*G153))</f>
        <v>0.21428571428571433</v>
      </c>
      <c r="I153" s="395">
        <f t="shared" si="7"/>
        <v>70</v>
      </c>
      <c r="J153" s="394">
        <f>('SITE DATA'!$F$27-(0.2*G153))^2/('SITE DATA'!$F$27+(0.8*G153))</f>
        <v>0.21428571428571433</v>
      </c>
      <c r="K153" s="395">
        <f t="shared" si="8"/>
        <v>70</v>
      </c>
      <c r="L153" s="394">
        <f>('SITE DATA'!$F$28-(0.2*G153))^2/('SITE DATA'!$F$28+(0.8*G153))</f>
        <v>0.21428571428571433</v>
      </c>
      <c r="M153" s="395">
        <f t="shared" si="9"/>
        <v>70</v>
      </c>
    </row>
    <row r="154" spans="2:13" ht="24" hidden="1" thickBot="1" x14ac:dyDescent="0.4">
      <c r="B154" s="540" t="s">
        <v>570</v>
      </c>
      <c r="C154" s="511" t="s">
        <v>547</v>
      </c>
      <c r="D154" s="539" t="e">
        <f>0.05+(0.9*D153)</f>
        <v>#DIV/0!</v>
      </c>
      <c r="E154" s="507"/>
      <c r="F154" s="507"/>
      <c r="G154" s="393">
        <f t="shared" si="6"/>
        <v>4.0845070422535219</v>
      </c>
      <c r="H154" s="394">
        <f>('SITE DATA'!$F$26-(0.2*G154))^2/('SITE DATA'!$F$26+(0.8*G154))</f>
        <v>0.20422535211267612</v>
      </c>
      <c r="I154" s="395">
        <f t="shared" si="7"/>
        <v>71</v>
      </c>
      <c r="J154" s="394">
        <f>('SITE DATA'!$F$27-(0.2*G154))^2/('SITE DATA'!$F$27+(0.8*G154))</f>
        <v>0.20422535211267612</v>
      </c>
      <c r="K154" s="395">
        <f t="shared" si="8"/>
        <v>71</v>
      </c>
      <c r="L154" s="394">
        <f>('SITE DATA'!$F$28-(0.2*G154))^2/('SITE DATA'!$F$28+(0.8*G154))</f>
        <v>0.20422535211267612</v>
      </c>
      <c r="M154" s="395">
        <f t="shared" si="9"/>
        <v>71</v>
      </c>
    </row>
    <row r="155" spans="2:13" ht="24" hidden="1" thickBot="1" x14ac:dyDescent="0.4">
      <c r="B155" s="540"/>
      <c r="C155" s="534" t="s">
        <v>549</v>
      </c>
      <c r="D155" s="535" t="e">
        <f>3630*1*D154*SUM(F17:G25)</f>
        <v>#DIV/0!</v>
      </c>
      <c r="E155" s="615" t="e">
        <f>D155</f>
        <v>#DIV/0!</v>
      </c>
      <c r="F155" s="507"/>
      <c r="G155" s="393">
        <f t="shared" si="6"/>
        <v>3.8888888888888893</v>
      </c>
      <c r="H155" s="394">
        <f>('SITE DATA'!$F$26-(0.2*G155))^2/('SITE DATA'!$F$26+(0.8*G155))</f>
        <v>0.1944444444444445</v>
      </c>
      <c r="I155" s="395">
        <f t="shared" si="7"/>
        <v>72</v>
      </c>
      <c r="J155" s="394">
        <f>('SITE DATA'!$F$27-(0.2*G155))^2/('SITE DATA'!$F$27+(0.8*G155))</f>
        <v>0.1944444444444445</v>
      </c>
      <c r="K155" s="395">
        <f t="shared" si="8"/>
        <v>72</v>
      </c>
      <c r="L155" s="394">
        <f>('SITE DATA'!$F$28-(0.2*G155))^2/('SITE DATA'!$F$28+(0.8*G155))</f>
        <v>0.1944444444444445</v>
      </c>
      <c r="M155" s="395">
        <f t="shared" si="9"/>
        <v>72</v>
      </c>
    </row>
    <row r="156" spans="2:13" ht="15.75" hidden="1" thickBot="1" x14ac:dyDescent="0.25">
      <c r="B156" s="541"/>
      <c r="C156" s="537"/>
      <c r="D156" s="531"/>
      <c r="E156" s="507"/>
      <c r="F156" s="507"/>
      <c r="G156" s="393">
        <f t="shared" si="6"/>
        <v>3.6986301369863011</v>
      </c>
      <c r="H156" s="394">
        <f>('SITE DATA'!$F$26-(0.2*G156))^2/('SITE DATA'!$F$26+(0.8*G156))</f>
        <v>0.18493150684931509</v>
      </c>
      <c r="I156" s="395">
        <f t="shared" si="7"/>
        <v>73</v>
      </c>
      <c r="J156" s="394">
        <f>('SITE DATA'!$F$27-(0.2*G156))^2/('SITE DATA'!$F$27+(0.8*G156))</f>
        <v>0.18493150684931509</v>
      </c>
      <c r="K156" s="395">
        <f t="shared" si="8"/>
        <v>73</v>
      </c>
      <c r="L156" s="394">
        <f>('SITE DATA'!$F$28-(0.2*G156))^2/('SITE DATA'!$F$28+(0.8*G156))</f>
        <v>0.18493150684931509</v>
      </c>
      <c r="M156" s="395">
        <f t="shared" si="9"/>
        <v>73</v>
      </c>
    </row>
    <row r="157" spans="2:13" hidden="1" x14ac:dyDescent="0.2">
      <c r="B157" s="538"/>
      <c r="C157" s="511" t="s">
        <v>543</v>
      </c>
      <c r="D157" s="613" t="e">
        <f>(SUM(H25:I25))/SUM(D17:M25)</f>
        <v>#DIV/0!</v>
      </c>
      <c r="E157" s="507"/>
      <c r="F157" s="507"/>
      <c r="G157" s="393">
        <f t="shared" si="6"/>
        <v>3.513513513513514</v>
      </c>
      <c r="H157" s="394">
        <f>('SITE DATA'!$F$26-(0.2*G157))^2/('SITE DATA'!$F$26+(0.8*G157))</f>
        <v>0.17567567567567571</v>
      </c>
      <c r="I157" s="395">
        <f t="shared" si="7"/>
        <v>74</v>
      </c>
      <c r="J157" s="394">
        <f>('SITE DATA'!$F$27-(0.2*G157))^2/('SITE DATA'!$F$27+(0.8*G157))</f>
        <v>0.17567567567567571</v>
      </c>
      <c r="K157" s="395">
        <f t="shared" si="8"/>
        <v>74</v>
      </c>
      <c r="L157" s="394">
        <f>('SITE DATA'!$F$28-(0.2*G157))^2/('SITE DATA'!$F$28+(0.8*G157))</f>
        <v>0.17567567567567571</v>
      </c>
      <c r="M157" s="395">
        <f t="shared" si="9"/>
        <v>74</v>
      </c>
    </row>
    <row r="158" spans="2:13" ht="24" hidden="1" thickBot="1" x14ac:dyDescent="0.4">
      <c r="B158" s="540" t="s">
        <v>571</v>
      </c>
      <c r="C158" s="511" t="s">
        <v>547</v>
      </c>
      <c r="D158" s="539" t="e">
        <f>0.05+(0.9*D157)</f>
        <v>#DIV/0!</v>
      </c>
      <c r="E158" s="507"/>
      <c r="F158" s="507"/>
      <c r="G158" s="393">
        <f t="shared" si="6"/>
        <v>3.3333333333333339</v>
      </c>
      <c r="H158" s="394">
        <f>('SITE DATA'!$F$26-(0.2*G158))^2/('SITE DATA'!$F$26+(0.8*G158))</f>
        <v>0.16666666666666671</v>
      </c>
      <c r="I158" s="395">
        <f t="shared" si="7"/>
        <v>75</v>
      </c>
      <c r="J158" s="394">
        <f>('SITE DATA'!$F$27-(0.2*G158))^2/('SITE DATA'!$F$27+(0.8*G158))</f>
        <v>0.16666666666666671</v>
      </c>
      <c r="K158" s="395">
        <f t="shared" si="8"/>
        <v>75</v>
      </c>
      <c r="L158" s="394">
        <f>('SITE DATA'!$F$28-(0.2*G158))^2/('SITE DATA'!$F$28+(0.8*G158))</f>
        <v>0.16666666666666671</v>
      </c>
      <c r="M158" s="395">
        <f t="shared" si="9"/>
        <v>75</v>
      </c>
    </row>
    <row r="159" spans="2:13" ht="24" hidden="1" thickBot="1" x14ac:dyDescent="0.4">
      <c r="B159" s="540"/>
      <c r="C159" s="534" t="s">
        <v>549</v>
      </c>
      <c r="D159" s="535" t="e">
        <f>3630*1*D158*SUM(H17:I25)</f>
        <v>#DIV/0!</v>
      </c>
      <c r="E159" s="615" t="e">
        <f>D159</f>
        <v>#DIV/0!</v>
      </c>
      <c r="F159" s="507"/>
      <c r="G159" s="393">
        <f t="shared" si="6"/>
        <v>3.1578947368421044</v>
      </c>
      <c r="H159" s="394">
        <f>('SITE DATA'!$F$26-(0.2*G159))^2/('SITE DATA'!$F$26+(0.8*G159))</f>
        <v>0.15789473684210523</v>
      </c>
      <c r="I159" s="586">
        <f t="shared" si="7"/>
        <v>76</v>
      </c>
      <c r="J159" s="394">
        <f>('SITE DATA'!$F$27-(0.2*G159))^2/('SITE DATA'!$F$27+(0.8*G159))</f>
        <v>0.15789473684210523</v>
      </c>
      <c r="K159" s="586">
        <f t="shared" si="8"/>
        <v>76</v>
      </c>
      <c r="L159" s="394">
        <f>('SITE DATA'!$F$28-(0.2*G159))^2/('SITE DATA'!$F$28+(0.8*G159))</f>
        <v>0.15789473684210523</v>
      </c>
      <c r="M159" s="586">
        <f t="shared" si="9"/>
        <v>76</v>
      </c>
    </row>
    <row r="160" spans="2:13" ht="15.75" hidden="1" thickBot="1" x14ac:dyDescent="0.25">
      <c r="B160" s="541"/>
      <c r="C160" s="537"/>
      <c r="D160" s="531"/>
      <c r="E160" s="507"/>
      <c r="F160" s="507"/>
      <c r="G160" s="393">
        <f t="shared" si="6"/>
        <v>2.9870129870129869</v>
      </c>
      <c r="H160" s="394">
        <f>('SITE DATA'!$F$26-(0.2*G160))^2/('SITE DATA'!$F$26+(0.8*G160))</f>
        <v>0.14935064935064934</v>
      </c>
      <c r="I160" s="586">
        <f t="shared" si="7"/>
        <v>77</v>
      </c>
      <c r="J160" s="394">
        <f>('SITE DATA'!$F$27-(0.2*G160))^2/('SITE DATA'!$F$27+(0.8*G160))</f>
        <v>0.14935064935064934</v>
      </c>
      <c r="K160" s="586">
        <f t="shared" si="8"/>
        <v>77</v>
      </c>
      <c r="L160" s="394">
        <f>('SITE DATA'!$F$28-(0.2*G160))^2/('SITE DATA'!$F$28+(0.8*G160))</f>
        <v>0.14935064935064934</v>
      </c>
      <c r="M160" s="586">
        <f t="shared" si="9"/>
        <v>77</v>
      </c>
    </row>
    <row r="161" spans="2:13" hidden="1" x14ac:dyDescent="0.2">
      <c r="B161" s="538"/>
      <c r="C161" s="511" t="s">
        <v>543</v>
      </c>
      <c r="D161" s="613" t="e">
        <f>(SUM(J25:K25))/SUM(D17:M25)</f>
        <v>#DIV/0!</v>
      </c>
      <c r="E161" s="507"/>
      <c r="F161" s="507"/>
      <c r="G161" s="393">
        <f t="shared" si="6"/>
        <v>2.8205128205128212</v>
      </c>
      <c r="H161" s="394">
        <f>('SITE DATA'!$F$26-(0.2*G161))^2/('SITE DATA'!$F$26+(0.8*G161))</f>
        <v>0.14102564102564105</v>
      </c>
      <c r="I161" s="586">
        <f t="shared" si="7"/>
        <v>78</v>
      </c>
      <c r="J161" s="394">
        <f>('SITE DATA'!$F$27-(0.2*G161))^2/('SITE DATA'!$F$27+(0.8*G161))</f>
        <v>0.14102564102564105</v>
      </c>
      <c r="K161" s="586">
        <f t="shared" si="8"/>
        <v>78</v>
      </c>
      <c r="L161" s="394">
        <f>('SITE DATA'!$F$28-(0.2*G161))^2/('SITE DATA'!$F$28+(0.8*G161))</f>
        <v>0.14102564102564105</v>
      </c>
      <c r="M161" s="586">
        <f t="shared" si="9"/>
        <v>78</v>
      </c>
    </row>
    <row r="162" spans="2:13" ht="24" hidden="1" thickBot="1" x14ac:dyDescent="0.4">
      <c r="B162" s="540" t="s">
        <v>572</v>
      </c>
      <c r="C162" s="511" t="s">
        <v>547</v>
      </c>
      <c r="D162" s="539" t="e">
        <f>0.05+(0.9*D161)</f>
        <v>#DIV/0!</v>
      </c>
      <c r="E162" s="507"/>
      <c r="F162" s="507"/>
      <c r="G162" s="393">
        <f t="shared" si="6"/>
        <v>2.6582278481012658</v>
      </c>
      <c r="H162" s="394">
        <f>('SITE DATA'!$F$26-(0.2*G162))^2/('SITE DATA'!$F$26+(0.8*G162))</f>
        <v>0.13291139240506331</v>
      </c>
      <c r="I162" s="586">
        <f t="shared" si="7"/>
        <v>79</v>
      </c>
      <c r="J162" s="394">
        <f>('SITE DATA'!$F$27-(0.2*G162))^2/('SITE DATA'!$F$27+(0.8*G162))</f>
        <v>0.13291139240506331</v>
      </c>
      <c r="K162" s="586">
        <f t="shared" si="8"/>
        <v>79</v>
      </c>
      <c r="L162" s="394">
        <f>('SITE DATA'!$F$28-(0.2*G162))^2/('SITE DATA'!$F$28+(0.8*G162))</f>
        <v>0.13291139240506331</v>
      </c>
      <c r="M162" s="586">
        <f t="shared" si="9"/>
        <v>79</v>
      </c>
    </row>
    <row r="163" spans="2:13" ht="24" hidden="1" thickBot="1" x14ac:dyDescent="0.4">
      <c r="B163" s="540"/>
      <c r="C163" s="534" t="s">
        <v>549</v>
      </c>
      <c r="D163" s="535" t="e">
        <f>3630*1*D162*SUM(J17:K25)</f>
        <v>#DIV/0!</v>
      </c>
      <c r="E163" s="615" t="e">
        <f>D163</f>
        <v>#DIV/0!</v>
      </c>
      <c r="F163" s="507"/>
      <c r="G163" s="393">
        <f t="shared" si="6"/>
        <v>2.5</v>
      </c>
      <c r="H163" s="394">
        <f>('SITE DATA'!$F$26-(0.2*G163))^2/('SITE DATA'!$F$26+(0.8*G163))</f>
        <v>0.125</v>
      </c>
      <c r="I163" s="586">
        <f t="shared" si="7"/>
        <v>80</v>
      </c>
      <c r="J163" s="394">
        <f>('SITE DATA'!$F$27-(0.2*G163))^2/('SITE DATA'!$F$27+(0.8*G163))</f>
        <v>0.125</v>
      </c>
      <c r="K163" s="586">
        <f t="shared" si="8"/>
        <v>80</v>
      </c>
      <c r="L163" s="394">
        <f>('SITE DATA'!$F$28-(0.2*G163))^2/('SITE DATA'!$F$28+(0.8*G163))</f>
        <v>0.125</v>
      </c>
      <c r="M163" s="586">
        <f t="shared" si="9"/>
        <v>80</v>
      </c>
    </row>
    <row r="164" spans="2:13" ht="15.75" hidden="1" thickBot="1" x14ac:dyDescent="0.25">
      <c r="B164" s="541"/>
      <c r="C164" s="537"/>
      <c r="D164" s="531"/>
      <c r="E164" s="507"/>
      <c r="F164" s="507"/>
      <c r="G164" s="393">
        <f t="shared" si="6"/>
        <v>2.3456790123456788</v>
      </c>
      <c r="H164" s="394">
        <f>('SITE DATA'!$F$26-(0.2*G164))^2/('SITE DATA'!$F$26+(0.8*G164))</f>
        <v>0.11728395061728394</v>
      </c>
      <c r="I164" s="586">
        <f t="shared" si="7"/>
        <v>81</v>
      </c>
      <c r="J164" s="394">
        <f>('SITE DATA'!$F$27-(0.2*G164))^2/('SITE DATA'!$F$27+(0.8*G164))</f>
        <v>0.11728395061728394</v>
      </c>
      <c r="K164" s="586">
        <f t="shared" si="8"/>
        <v>81</v>
      </c>
      <c r="L164" s="394">
        <f>('SITE DATA'!$F$28-(0.2*G164))^2/('SITE DATA'!$F$28+(0.8*G164))</f>
        <v>0.11728395061728394</v>
      </c>
      <c r="M164" s="586">
        <f t="shared" si="9"/>
        <v>81</v>
      </c>
    </row>
    <row r="165" spans="2:13" hidden="1" x14ac:dyDescent="0.2">
      <c r="B165" s="538"/>
      <c r="C165" s="511" t="s">
        <v>543</v>
      </c>
      <c r="D165" s="613" t="e">
        <f>(SUM(L25:M25))/SUM(D17:M25)</f>
        <v>#DIV/0!</v>
      </c>
      <c r="E165" s="507"/>
      <c r="F165" s="507"/>
      <c r="G165" s="393">
        <f t="shared" si="6"/>
        <v>2.1951219512195124</v>
      </c>
      <c r="H165" s="394">
        <f>('SITE DATA'!$F$26-(0.2*G165))^2/('SITE DATA'!$F$26+(0.8*G165))</f>
        <v>0.10975609756097562</v>
      </c>
      <c r="I165" s="586">
        <f t="shared" si="7"/>
        <v>82</v>
      </c>
      <c r="J165" s="394">
        <f>('SITE DATA'!$F$27-(0.2*G165))^2/('SITE DATA'!$F$27+(0.8*G165))</f>
        <v>0.10975609756097562</v>
      </c>
      <c r="K165" s="586">
        <f t="shared" si="8"/>
        <v>82</v>
      </c>
      <c r="L165" s="394">
        <f>('SITE DATA'!$F$28-(0.2*G165))^2/('SITE DATA'!$F$28+(0.8*G165))</f>
        <v>0.10975609756097562</v>
      </c>
      <c r="M165" s="586">
        <f t="shared" si="9"/>
        <v>82</v>
      </c>
    </row>
    <row r="166" spans="2:13" ht="24" hidden="1" thickBot="1" x14ac:dyDescent="0.4">
      <c r="B166" s="540" t="s">
        <v>573</v>
      </c>
      <c r="C166" s="511" t="s">
        <v>547</v>
      </c>
      <c r="D166" s="539" t="e">
        <f>0.05+(0.9*D165)</f>
        <v>#DIV/0!</v>
      </c>
      <c r="E166" s="507"/>
      <c r="F166" s="507"/>
      <c r="G166" s="393">
        <f t="shared" si="6"/>
        <v>2.0481927710843379</v>
      </c>
      <c r="H166" s="394">
        <f>('SITE DATA'!$F$26-(0.2*G166))^2/('SITE DATA'!$F$26+(0.8*G166))</f>
        <v>0.10240963855421689</v>
      </c>
      <c r="I166" s="586">
        <f t="shared" si="7"/>
        <v>83</v>
      </c>
      <c r="J166" s="394">
        <f>('SITE DATA'!$F$27-(0.2*G166))^2/('SITE DATA'!$F$27+(0.8*G166))</f>
        <v>0.10240963855421689</v>
      </c>
      <c r="K166" s="586">
        <f t="shared" si="8"/>
        <v>83</v>
      </c>
      <c r="L166" s="394">
        <f>('SITE DATA'!$F$28-(0.2*G166))^2/('SITE DATA'!$F$28+(0.8*G166))</f>
        <v>0.10240963855421689</v>
      </c>
      <c r="M166" s="586">
        <f t="shared" si="9"/>
        <v>83</v>
      </c>
    </row>
    <row r="167" spans="2:13" ht="24" hidden="1" thickBot="1" x14ac:dyDescent="0.4">
      <c r="B167" s="540"/>
      <c r="C167" s="534" t="s">
        <v>549</v>
      </c>
      <c r="D167" s="535" t="e">
        <f>3630*1*D166*SUM(L17:M25)</f>
        <v>#DIV/0!</v>
      </c>
      <c r="E167" s="615" t="e">
        <f>D167</f>
        <v>#DIV/0!</v>
      </c>
      <c r="F167" s="507"/>
      <c r="G167" s="393">
        <f t="shared" si="6"/>
        <v>1.9047619047619051</v>
      </c>
      <c r="H167" s="394">
        <f>('SITE DATA'!$F$26-(0.2*G167))^2/('SITE DATA'!$F$26+(0.8*G167))</f>
        <v>9.5238095238095261E-2</v>
      </c>
      <c r="I167" s="586">
        <f t="shared" si="7"/>
        <v>84</v>
      </c>
      <c r="J167" s="394">
        <f>('SITE DATA'!$F$27-(0.2*G167))^2/('SITE DATA'!$F$27+(0.8*G167))</f>
        <v>9.5238095238095261E-2</v>
      </c>
      <c r="K167" s="586">
        <f t="shared" si="8"/>
        <v>84</v>
      </c>
      <c r="L167" s="394">
        <f>('SITE DATA'!$F$28-(0.2*G167))^2/('SITE DATA'!$F$28+(0.8*G167))</f>
        <v>9.5238095238095261E-2</v>
      </c>
      <c r="M167" s="586">
        <f t="shared" si="9"/>
        <v>84</v>
      </c>
    </row>
    <row r="168" spans="2:13" ht="15.75" hidden="1" thickBot="1" x14ac:dyDescent="0.25">
      <c r="B168" s="541"/>
      <c r="C168" s="537"/>
      <c r="D168" s="531"/>
      <c r="E168" s="507"/>
      <c r="F168" s="507"/>
      <c r="G168" s="393">
        <f t="shared" si="6"/>
        <v>1.764705882352942</v>
      </c>
      <c r="H168" s="394">
        <f>('SITE DATA'!$F$26-(0.2*G168))^2/('SITE DATA'!$F$26+(0.8*G168))</f>
        <v>8.8235294117647106E-2</v>
      </c>
      <c r="I168" s="586">
        <f t="shared" si="7"/>
        <v>85</v>
      </c>
      <c r="J168" s="394">
        <f>('SITE DATA'!$F$27-(0.2*G168))^2/('SITE DATA'!$F$27+(0.8*G168))</f>
        <v>8.8235294117647106E-2</v>
      </c>
      <c r="K168" s="586">
        <f t="shared" si="8"/>
        <v>85</v>
      </c>
      <c r="L168" s="394">
        <f>('SITE DATA'!$F$28-(0.2*G168))^2/('SITE DATA'!$F$28+(0.8*G168))</f>
        <v>8.8235294117647106E-2</v>
      </c>
      <c r="M168" s="586">
        <f t="shared" si="9"/>
        <v>85</v>
      </c>
    </row>
    <row r="169" spans="2:13" hidden="1" x14ac:dyDescent="0.2">
      <c r="B169" s="397"/>
      <c r="C169" s="507"/>
      <c r="D169" s="507"/>
      <c r="E169" s="507"/>
      <c r="F169" s="160"/>
      <c r="G169" s="393">
        <f t="shared" si="6"/>
        <v>1.6279069767441854</v>
      </c>
      <c r="H169" s="394">
        <f>('SITE DATA'!$F$26-(0.2*G169))^2/('SITE DATA'!$F$26+(0.8*G169))</f>
        <v>8.139534883720928E-2</v>
      </c>
      <c r="I169" s="586">
        <f t="shared" si="7"/>
        <v>86</v>
      </c>
      <c r="J169" s="394">
        <f>('SITE DATA'!$F$27-(0.2*G169))^2/('SITE DATA'!$F$27+(0.8*G169))</f>
        <v>8.139534883720928E-2</v>
      </c>
      <c r="K169" s="586">
        <f t="shared" si="8"/>
        <v>86</v>
      </c>
      <c r="L169" s="394">
        <f>('SITE DATA'!$F$28-(0.2*G169))^2/('SITE DATA'!$F$28+(0.8*G169))</f>
        <v>8.139534883720928E-2</v>
      </c>
      <c r="M169" s="586">
        <f t="shared" si="9"/>
        <v>86</v>
      </c>
    </row>
    <row r="170" spans="2:13" hidden="1" x14ac:dyDescent="0.2">
      <c r="B170" s="397"/>
      <c r="C170" s="507"/>
      <c r="D170" s="507"/>
      <c r="E170" s="507"/>
      <c r="F170" s="507"/>
      <c r="G170" s="393">
        <f t="shared" si="6"/>
        <v>1.4942528735632177</v>
      </c>
      <c r="H170" s="394">
        <f>('SITE DATA'!$F$26-(0.2*G170))^2/('SITE DATA'!$F$26+(0.8*G170))</f>
        <v>7.4712643678160884E-2</v>
      </c>
      <c r="I170" s="586">
        <f t="shared" si="7"/>
        <v>87</v>
      </c>
      <c r="J170" s="394">
        <f>('SITE DATA'!$F$27-(0.2*G170))^2/('SITE DATA'!$F$27+(0.8*G170))</f>
        <v>7.4712643678160884E-2</v>
      </c>
      <c r="K170" s="586">
        <f t="shared" si="8"/>
        <v>87</v>
      </c>
      <c r="L170" s="394">
        <f>('SITE DATA'!$F$28-(0.2*G170))^2/('SITE DATA'!$F$28+(0.8*G170))</f>
        <v>7.4712643678160884E-2</v>
      </c>
      <c r="M170" s="586">
        <f t="shared" si="9"/>
        <v>87</v>
      </c>
    </row>
    <row r="171" spans="2:13" hidden="1" x14ac:dyDescent="0.2">
      <c r="B171" s="397"/>
      <c r="C171" s="507"/>
      <c r="D171" s="507"/>
      <c r="E171" s="507"/>
      <c r="F171" s="507"/>
      <c r="G171" s="393">
        <f t="shared" si="6"/>
        <v>1.3636363636363633</v>
      </c>
      <c r="H171" s="394">
        <f>('SITE DATA'!$F$26-(0.2*G171))^2/('SITE DATA'!$F$26+(0.8*G171))</f>
        <v>6.8181818181818163E-2</v>
      </c>
      <c r="I171" s="586">
        <f t="shared" si="7"/>
        <v>88</v>
      </c>
      <c r="J171" s="394">
        <f>('SITE DATA'!$F$27-(0.2*G171))^2/('SITE DATA'!$F$27+(0.8*G171))</f>
        <v>6.8181818181818163E-2</v>
      </c>
      <c r="K171" s="586">
        <f t="shared" si="8"/>
        <v>88</v>
      </c>
      <c r="L171" s="394">
        <f>('SITE DATA'!$F$28-(0.2*G171))^2/('SITE DATA'!$F$28+(0.8*G171))</f>
        <v>6.8181818181818163E-2</v>
      </c>
      <c r="M171" s="586">
        <f t="shared" si="9"/>
        <v>88</v>
      </c>
    </row>
    <row r="172" spans="2:13" hidden="1" x14ac:dyDescent="0.2">
      <c r="B172" s="397"/>
      <c r="C172" s="507"/>
      <c r="D172" s="507"/>
      <c r="E172" s="507"/>
      <c r="F172" s="507"/>
      <c r="G172" s="393">
        <f t="shared" si="6"/>
        <v>1.2359550561797761</v>
      </c>
      <c r="H172" s="394">
        <f>('SITE DATA'!$F$26-(0.2*G172))^2/('SITE DATA'!$F$26+(0.8*G172))</f>
        <v>6.1797752808988804E-2</v>
      </c>
      <c r="I172" s="586">
        <f t="shared" si="7"/>
        <v>89</v>
      </c>
      <c r="J172" s="394">
        <f>('SITE DATA'!$F$27-(0.2*G172))^2/('SITE DATA'!$F$27+(0.8*G172))</f>
        <v>6.1797752808988804E-2</v>
      </c>
      <c r="K172" s="586">
        <f t="shared" si="8"/>
        <v>89</v>
      </c>
      <c r="L172" s="394">
        <f>('SITE DATA'!$F$28-(0.2*G172))^2/('SITE DATA'!$F$28+(0.8*G172))</f>
        <v>6.1797752808988804E-2</v>
      </c>
      <c r="M172" s="586">
        <f t="shared" si="9"/>
        <v>89</v>
      </c>
    </row>
    <row r="173" spans="2:13" hidden="1" x14ac:dyDescent="0.2">
      <c r="B173" s="397"/>
      <c r="C173" s="507"/>
      <c r="D173" s="507"/>
      <c r="E173" s="507"/>
      <c r="F173" s="507"/>
      <c r="G173" s="393">
        <f t="shared" si="6"/>
        <v>1.1111111111111107</v>
      </c>
      <c r="H173" s="394">
        <f>('SITE DATA'!$F$26-(0.2*G173))^2/('SITE DATA'!$F$26+(0.8*G173))</f>
        <v>5.5555555555555539E-2</v>
      </c>
      <c r="I173" s="586">
        <f t="shared" si="7"/>
        <v>90</v>
      </c>
      <c r="J173" s="394">
        <f>('SITE DATA'!$F$27-(0.2*G173))^2/('SITE DATA'!$F$27+(0.8*G173))</f>
        <v>5.5555555555555539E-2</v>
      </c>
      <c r="K173" s="586">
        <f t="shared" si="8"/>
        <v>90</v>
      </c>
      <c r="L173" s="394">
        <f>('SITE DATA'!$F$28-(0.2*G173))^2/('SITE DATA'!$F$28+(0.8*G173))</f>
        <v>5.5555555555555539E-2</v>
      </c>
      <c r="M173" s="586">
        <f t="shared" si="9"/>
        <v>90</v>
      </c>
    </row>
    <row r="174" spans="2:13" hidden="1" x14ac:dyDescent="0.2">
      <c r="B174" s="397"/>
      <c r="C174" s="507"/>
      <c r="D174" s="507"/>
      <c r="E174" s="507"/>
      <c r="F174" s="507"/>
      <c r="G174" s="393">
        <f t="shared" si="6"/>
        <v>0.98901098901098905</v>
      </c>
      <c r="H174" s="394">
        <f>('SITE DATA'!$F$26-(0.2*G174))^2/('SITE DATA'!$F$26+(0.8*G174))</f>
        <v>4.9450549450549455E-2</v>
      </c>
      <c r="I174" s="586">
        <f t="shared" si="7"/>
        <v>91</v>
      </c>
      <c r="J174" s="394">
        <f>('SITE DATA'!$F$27-(0.2*G174))^2/('SITE DATA'!$F$27+(0.8*G174))</f>
        <v>4.9450549450549455E-2</v>
      </c>
      <c r="K174" s="586">
        <f t="shared" si="8"/>
        <v>91</v>
      </c>
      <c r="L174" s="394">
        <f>('SITE DATA'!$F$28-(0.2*G174))^2/('SITE DATA'!$F$28+(0.8*G174))</f>
        <v>4.9450549450549455E-2</v>
      </c>
      <c r="M174" s="586">
        <f t="shared" si="9"/>
        <v>91</v>
      </c>
    </row>
    <row r="175" spans="2:13" hidden="1" x14ac:dyDescent="0.2">
      <c r="B175" s="397"/>
      <c r="C175" s="507"/>
      <c r="D175" s="507"/>
      <c r="E175" s="507"/>
      <c r="F175" s="507"/>
      <c r="G175" s="393">
        <f t="shared" si="6"/>
        <v>0.86956521739130466</v>
      </c>
      <c r="H175" s="394">
        <f>('SITE DATA'!$F$26-(0.2*G175))^2/('SITE DATA'!$F$26+(0.8*G175))</f>
        <v>4.3478260869565237E-2</v>
      </c>
      <c r="I175" s="586">
        <f t="shared" si="7"/>
        <v>92</v>
      </c>
      <c r="J175" s="394">
        <f>('SITE DATA'!$F$27-(0.2*G175))^2/('SITE DATA'!$F$27+(0.8*G175))</f>
        <v>4.3478260869565237E-2</v>
      </c>
      <c r="K175" s="586">
        <f t="shared" si="8"/>
        <v>92</v>
      </c>
      <c r="L175" s="394">
        <f>('SITE DATA'!$F$28-(0.2*G175))^2/('SITE DATA'!$F$28+(0.8*G175))</f>
        <v>4.3478260869565237E-2</v>
      </c>
      <c r="M175" s="586">
        <f t="shared" si="9"/>
        <v>92</v>
      </c>
    </row>
    <row r="176" spans="2:13" hidden="1" x14ac:dyDescent="0.2">
      <c r="B176" s="397"/>
      <c r="C176" s="507"/>
      <c r="D176" s="507"/>
      <c r="E176" s="507"/>
      <c r="F176" s="507"/>
      <c r="G176" s="393">
        <f t="shared" si="6"/>
        <v>0.75268817204301008</v>
      </c>
      <c r="H176" s="394">
        <f>('SITE DATA'!$F$26-(0.2*G176))^2/('SITE DATA'!$F$26+(0.8*G176))</f>
        <v>3.7634408602150504E-2</v>
      </c>
      <c r="I176" s="586">
        <f t="shared" si="7"/>
        <v>93</v>
      </c>
      <c r="J176" s="394">
        <f>('SITE DATA'!$F$27-(0.2*G176))^2/('SITE DATA'!$F$27+(0.8*G176))</f>
        <v>3.7634408602150504E-2</v>
      </c>
      <c r="K176" s="586">
        <f t="shared" si="8"/>
        <v>93</v>
      </c>
      <c r="L176" s="394">
        <f>('SITE DATA'!$F$28-(0.2*G176))^2/('SITE DATA'!$F$28+(0.8*G176))</f>
        <v>3.7634408602150504E-2</v>
      </c>
      <c r="M176" s="586">
        <f t="shared" si="9"/>
        <v>93</v>
      </c>
    </row>
    <row r="177" spans="2:14" hidden="1" x14ac:dyDescent="0.2">
      <c r="B177" s="397"/>
      <c r="C177" s="507"/>
      <c r="D177" s="507"/>
      <c r="E177" s="507"/>
      <c r="F177" s="507"/>
      <c r="G177" s="393">
        <f t="shared" si="6"/>
        <v>0.63829787234042534</v>
      </c>
      <c r="H177" s="394">
        <f>('SITE DATA'!$F$26-(0.2*G177))^2/('SITE DATA'!$F$26+(0.8*G177))</f>
        <v>3.1914893617021267E-2</v>
      </c>
      <c r="I177" s="586">
        <f t="shared" si="7"/>
        <v>94</v>
      </c>
      <c r="J177" s="394">
        <f>('SITE DATA'!$F$27-(0.2*G177))^2/('SITE DATA'!$F$27+(0.8*G177))</f>
        <v>3.1914893617021267E-2</v>
      </c>
      <c r="K177" s="586">
        <f t="shared" si="8"/>
        <v>94</v>
      </c>
      <c r="L177" s="394">
        <f>('SITE DATA'!$F$28-(0.2*G177))^2/('SITE DATA'!$F$28+(0.8*G177))</f>
        <v>3.1914893617021267E-2</v>
      </c>
      <c r="M177" s="586">
        <f t="shared" si="9"/>
        <v>94</v>
      </c>
    </row>
    <row r="178" spans="2:14" hidden="1" x14ac:dyDescent="0.2">
      <c r="B178" s="397"/>
      <c r="C178" s="507"/>
      <c r="D178" s="507"/>
      <c r="E178" s="507"/>
      <c r="F178" s="507"/>
      <c r="G178" s="393">
        <f t="shared" si="6"/>
        <v>0.52631578947368496</v>
      </c>
      <c r="H178" s="394">
        <f>('SITE DATA'!$F$26-(0.2*G178))^2/('SITE DATA'!$F$26+(0.8*G178))</f>
        <v>2.6315789473684247E-2</v>
      </c>
      <c r="I178" s="586">
        <f t="shared" si="7"/>
        <v>95</v>
      </c>
      <c r="J178" s="394">
        <f>('SITE DATA'!$F$27-(0.2*G178))^2/('SITE DATA'!$F$27+(0.8*G178))</f>
        <v>2.6315789473684247E-2</v>
      </c>
      <c r="K178" s="586">
        <f t="shared" si="8"/>
        <v>95</v>
      </c>
      <c r="L178" s="394">
        <f>('SITE DATA'!$F$28-(0.2*G178))^2/('SITE DATA'!$F$28+(0.8*G178))</f>
        <v>2.6315789473684247E-2</v>
      </c>
      <c r="M178" s="586">
        <f t="shared" si="9"/>
        <v>95</v>
      </c>
    </row>
    <row r="179" spans="2:14" hidden="1" x14ac:dyDescent="0.2">
      <c r="B179" s="397"/>
      <c r="C179" s="507"/>
      <c r="D179" s="507"/>
      <c r="E179" s="507"/>
      <c r="F179" s="507"/>
      <c r="G179" s="393">
        <f t="shared" si="6"/>
        <v>0.41666666666666607</v>
      </c>
      <c r="H179" s="394">
        <f>('SITE DATA'!$F$26-(0.2*G179))^2/('SITE DATA'!$F$26+(0.8*G179))</f>
        <v>2.0833333333333304E-2</v>
      </c>
      <c r="I179" s="586">
        <f t="shared" si="7"/>
        <v>96</v>
      </c>
      <c r="J179" s="394">
        <f>('SITE DATA'!$F$27-(0.2*G179))^2/('SITE DATA'!$F$27+(0.8*G179))</f>
        <v>2.0833333333333304E-2</v>
      </c>
      <c r="K179" s="586">
        <f t="shared" si="8"/>
        <v>96</v>
      </c>
      <c r="L179" s="394">
        <f>('SITE DATA'!$F$28-(0.2*G179))^2/('SITE DATA'!$F$28+(0.8*G179))</f>
        <v>2.0833333333333304E-2</v>
      </c>
      <c r="M179" s="586">
        <f t="shared" si="9"/>
        <v>96</v>
      </c>
    </row>
    <row r="180" spans="2:14" hidden="1" x14ac:dyDescent="0.2">
      <c r="B180" s="397"/>
      <c r="C180" s="507"/>
      <c r="D180" s="507"/>
      <c r="E180" s="507"/>
      <c r="F180" s="507"/>
      <c r="G180" s="393">
        <f t="shared" si="6"/>
        <v>0.3092783505154646</v>
      </c>
      <c r="H180" s="394">
        <f>('SITE DATA'!$F$26-(0.2*G180))^2/('SITE DATA'!$F$26+(0.8*G180))</f>
        <v>1.5463917525773231E-2</v>
      </c>
      <c r="I180" s="586">
        <f t="shared" si="7"/>
        <v>97</v>
      </c>
      <c r="J180" s="394">
        <f>('SITE DATA'!$F$27-(0.2*G180))^2/('SITE DATA'!$F$27+(0.8*G180))</f>
        <v>1.5463917525773231E-2</v>
      </c>
      <c r="K180" s="586">
        <f t="shared" si="8"/>
        <v>97</v>
      </c>
      <c r="L180" s="394">
        <f>('SITE DATA'!$F$28-(0.2*G180))^2/('SITE DATA'!$F$28+(0.8*G180))</f>
        <v>1.5463917525773231E-2</v>
      </c>
      <c r="M180" s="586">
        <f t="shared" si="9"/>
        <v>97</v>
      </c>
    </row>
    <row r="181" spans="2:14" hidden="1" x14ac:dyDescent="0.2">
      <c r="B181" s="397"/>
      <c r="C181" s="507"/>
      <c r="D181" s="507"/>
      <c r="E181" s="507"/>
      <c r="F181" s="507"/>
      <c r="G181" s="393">
        <f t="shared" si="6"/>
        <v>0.20408163265306101</v>
      </c>
      <c r="H181" s="394">
        <f>('SITE DATA'!$F$26-(0.2*G181))^2/('SITE DATA'!$F$26+(0.8*G181))</f>
        <v>1.0204081632653052E-2</v>
      </c>
      <c r="I181" s="586">
        <f t="shared" si="7"/>
        <v>98</v>
      </c>
      <c r="J181" s="394">
        <f>('SITE DATA'!$F$27-(0.2*G181))^2/('SITE DATA'!$F$27+(0.8*G181))</f>
        <v>1.0204081632653052E-2</v>
      </c>
      <c r="K181" s="586">
        <f t="shared" si="8"/>
        <v>98</v>
      </c>
      <c r="L181" s="394">
        <f>('SITE DATA'!$F$28-(0.2*G181))^2/('SITE DATA'!$F$28+(0.8*G181))</f>
        <v>1.0204081632653052E-2</v>
      </c>
      <c r="M181" s="586">
        <f t="shared" si="9"/>
        <v>98</v>
      </c>
    </row>
    <row r="182" spans="2:14" hidden="1" x14ac:dyDescent="0.2">
      <c r="B182" s="397"/>
      <c r="C182" s="507"/>
      <c r="D182" s="507"/>
      <c r="E182" s="507"/>
      <c r="F182" s="507"/>
      <c r="G182" s="507"/>
      <c r="H182" s="507"/>
      <c r="I182" s="507"/>
      <c r="J182" s="507"/>
      <c r="K182" s="573"/>
      <c r="L182" s="507"/>
      <c r="M182" s="507"/>
      <c r="N182" s="507"/>
    </row>
    <row r="183" spans="2:14" hidden="1" x14ac:dyDescent="0.2">
      <c r="B183" s="397"/>
      <c r="C183" s="507"/>
      <c r="D183" s="507"/>
      <c r="E183" s="507"/>
      <c r="F183" s="507"/>
      <c r="G183" s="507"/>
      <c r="H183" s="507"/>
      <c r="I183" s="507"/>
      <c r="J183" s="507"/>
      <c r="K183" s="573"/>
      <c r="L183" s="507"/>
      <c r="M183" s="507"/>
      <c r="N183" s="507"/>
    </row>
    <row r="184" spans="2:14" hidden="1" x14ac:dyDescent="0.2">
      <c r="B184" s="397"/>
      <c r="C184" s="507"/>
      <c r="D184" s="507"/>
      <c r="E184" s="507"/>
      <c r="F184" s="507"/>
      <c r="G184" s="507"/>
      <c r="H184" s="507"/>
      <c r="I184" s="507"/>
      <c r="J184" s="507"/>
      <c r="K184" s="573"/>
      <c r="L184" s="507"/>
      <c r="M184" s="507"/>
      <c r="N184" s="507"/>
    </row>
    <row r="185" spans="2:14" hidden="1" x14ac:dyDescent="0.2">
      <c r="B185" s="397"/>
      <c r="C185" s="507"/>
      <c r="D185" s="507"/>
      <c r="E185" s="507"/>
      <c r="F185" s="507"/>
      <c r="G185" s="507"/>
      <c r="H185" s="507"/>
      <c r="I185" s="507"/>
      <c r="J185" s="507"/>
      <c r="K185" s="573"/>
      <c r="L185" s="507"/>
      <c r="M185" s="507"/>
      <c r="N185" s="507"/>
    </row>
    <row r="186" spans="2:14" hidden="1" x14ac:dyDescent="0.2">
      <c r="B186" s="397"/>
      <c r="C186" s="507"/>
      <c r="D186" s="507"/>
      <c r="E186" s="507"/>
      <c r="F186" s="507"/>
      <c r="G186" s="507"/>
      <c r="H186" s="507"/>
      <c r="I186" s="507"/>
      <c r="J186" s="507"/>
      <c r="K186" s="573"/>
      <c r="L186" s="507"/>
      <c r="M186" s="507"/>
      <c r="N186" s="507"/>
    </row>
    <row r="187" spans="2:14" hidden="1" x14ac:dyDescent="0.2">
      <c r="B187" s="397"/>
      <c r="C187" s="507"/>
      <c r="D187" s="507"/>
      <c r="E187" s="507"/>
      <c r="F187" s="507"/>
      <c r="G187" s="507"/>
      <c r="H187" s="507"/>
      <c r="I187" s="507"/>
      <c r="J187" s="507"/>
      <c r="K187" s="573"/>
      <c r="L187" s="507"/>
      <c r="M187" s="507"/>
      <c r="N187" s="507"/>
    </row>
    <row r="188" spans="2:14" hidden="1" x14ac:dyDescent="0.2">
      <c r="B188" s="397"/>
      <c r="C188" s="507"/>
      <c r="D188" s="507"/>
      <c r="E188" s="507"/>
      <c r="F188" s="507"/>
      <c r="G188" s="507"/>
      <c r="H188" s="507"/>
      <c r="I188" s="507"/>
      <c r="J188" s="507"/>
      <c r="K188" s="573"/>
      <c r="L188" s="507"/>
      <c r="M188" s="507"/>
      <c r="N188" s="507"/>
    </row>
    <row r="189" spans="2:14" hidden="1" x14ac:dyDescent="0.2">
      <c r="B189" s="397"/>
      <c r="C189" s="507"/>
      <c r="D189" s="507"/>
      <c r="E189" s="507"/>
      <c r="F189" s="507"/>
      <c r="G189" s="507"/>
      <c r="H189" s="507"/>
      <c r="I189" s="507"/>
      <c r="J189" s="507"/>
      <c r="K189" s="573"/>
      <c r="L189" s="507"/>
      <c r="M189" s="507"/>
      <c r="N189" s="507"/>
    </row>
    <row r="190" spans="2:14" hidden="1" x14ac:dyDescent="0.2">
      <c r="B190" s="397"/>
      <c r="C190" s="507"/>
      <c r="D190" s="507"/>
      <c r="E190" s="507"/>
      <c r="F190" s="507"/>
      <c r="G190" s="507"/>
      <c r="H190" s="507"/>
      <c r="I190" s="507"/>
      <c r="J190" s="507"/>
      <c r="K190" s="573"/>
      <c r="L190" s="507"/>
      <c r="M190" s="507"/>
      <c r="N190" s="507"/>
    </row>
    <row r="191" spans="2:14" hidden="1" x14ac:dyDescent="0.2">
      <c r="B191" s="397"/>
      <c r="C191" s="507"/>
      <c r="D191" s="507"/>
      <c r="E191" s="507"/>
      <c r="F191" s="507"/>
      <c r="G191" s="507"/>
      <c r="H191" s="507"/>
      <c r="I191" s="507"/>
      <c r="J191" s="507"/>
      <c r="K191" s="573"/>
      <c r="L191" s="507"/>
      <c r="M191" s="507"/>
      <c r="N191" s="507"/>
    </row>
    <row r="192" spans="2:14" hidden="1" x14ac:dyDescent="0.2">
      <c r="B192" s="397"/>
      <c r="C192" s="507"/>
      <c r="D192" s="507"/>
      <c r="E192" s="507"/>
      <c r="F192" s="507"/>
      <c r="G192" s="507"/>
      <c r="H192" s="507"/>
      <c r="I192" s="507"/>
      <c r="J192" s="507"/>
      <c r="K192" s="573"/>
      <c r="L192" s="507"/>
      <c r="M192" s="507"/>
      <c r="N192" s="507"/>
    </row>
    <row r="193" spans="1:27" hidden="1" x14ac:dyDescent="0.2">
      <c r="B193" s="397"/>
      <c r="C193" s="507"/>
      <c r="D193" s="507"/>
      <c r="E193" s="507"/>
      <c r="F193" s="507"/>
      <c r="G193" s="507"/>
      <c r="H193" s="507"/>
      <c r="I193" s="507"/>
      <c r="J193" s="507"/>
      <c r="K193" s="573"/>
      <c r="L193" s="507"/>
      <c r="M193" s="507"/>
      <c r="N193" s="507"/>
    </row>
    <row r="194" spans="1:27" hidden="1" x14ac:dyDescent="0.2">
      <c r="B194" s="397"/>
      <c r="C194" s="507"/>
      <c r="D194" s="507"/>
      <c r="E194" s="507"/>
      <c r="F194" s="507"/>
      <c r="G194" s="507"/>
      <c r="H194" s="507"/>
      <c r="I194" s="507"/>
      <c r="J194" s="507"/>
      <c r="K194" s="573"/>
      <c r="L194" s="507"/>
      <c r="M194" s="507"/>
      <c r="N194" s="507"/>
    </row>
    <row r="195" spans="1:27" hidden="1" x14ac:dyDescent="0.2">
      <c r="B195" s="397"/>
      <c r="C195" s="507"/>
      <c r="D195" s="507"/>
      <c r="E195" s="507"/>
      <c r="F195" s="507"/>
      <c r="G195" s="507"/>
      <c r="H195" s="507"/>
      <c r="I195" s="507"/>
      <c r="J195" s="507"/>
      <c r="K195" s="573"/>
      <c r="L195" s="507"/>
      <c r="M195" s="507"/>
      <c r="N195" s="507"/>
    </row>
    <row r="196" spans="1:27" hidden="1" x14ac:dyDescent="0.2">
      <c r="B196" s="397"/>
      <c r="C196" s="507"/>
      <c r="D196" s="507"/>
      <c r="E196" s="507"/>
      <c r="F196" s="507"/>
      <c r="G196" s="507"/>
      <c r="H196" s="507"/>
      <c r="I196" s="507"/>
      <c r="J196" s="507"/>
      <c r="K196" s="573"/>
      <c r="L196" s="507"/>
      <c r="M196" s="507"/>
      <c r="N196" s="507"/>
    </row>
    <row r="197" spans="1:27" hidden="1" x14ac:dyDescent="0.2">
      <c r="B197" s="507"/>
      <c r="C197" s="507"/>
      <c r="D197" s="507"/>
      <c r="E197" s="507"/>
      <c r="F197" s="507"/>
      <c r="G197" s="507"/>
      <c r="H197" s="507"/>
      <c r="I197" s="507"/>
      <c r="J197" s="507"/>
      <c r="K197" s="573"/>
      <c r="L197" s="507"/>
      <c r="M197" s="507"/>
      <c r="N197" s="507"/>
    </row>
    <row r="198" spans="1:27" hidden="1" x14ac:dyDescent="0.2">
      <c r="B198" s="507"/>
      <c r="C198" s="507"/>
      <c r="D198" s="507"/>
      <c r="E198" s="507"/>
      <c r="F198" s="507"/>
      <c r="G198" s="507"/>
      <c r="H198" s="507"/>
      <c r="I198" s="507"/>
      <c r="J198" s="507"/>
      <c r="K198" s="573"/>
      <c r="L198" s="507"/>
      <c r="M198" s="507"/>
      <c r="N198" s="507"/>
    </row>
    <row r="199" spans="1:27" hidden="1" x14ac:dyDescent="0.2">
      <c r="B199" s="507"/>
      <c r="C199" s="507"/>
      <c r="D199" s="507"/>
      <c r="E199" s="507"/>
      <c r="F199" s="507"/>
      <c r="G199" s="507"/>
      <c r="H199" s="507"/>
      <c r="I199" s="507"/>
      <c r="J199" s="507"/>
      <c r="K199" s="573"/>
      <c r="L199" s="507"/>
      <c r="M199" s="507"/>
      <c r="N199" s="507"/>
    </row>
    <row r="200" spans="1:27" hidden="1" x14ac:dyDescent="0.2">
      <c r="B200" s="507"/>
      <c r="C200" s="507"/>
      <c r="D200" s="507"/>
      <c r="E200" s="507"/>
      <c r="F200" s="507"/>
      <c r="G200" s="507"/>
      <c r="H200" s="507"/>
      <c r="I200" s="507"/>
      <c r="J200" s="507"/>
      <c r="K200" s="573"/>
      <c r="L200" s="507"/>
      <c r="M200" s="507"/>
      <c r="N200" s="507"/>
    </row>
    <row r="201" spans="1:27" hidden="1" x14ac:dyDescent="0.2">
      <c r="B201" s="507"/>
      <c r="C201" s="507"/>
      <c r="D201" s="507"/>
      <c r="E201" s="507"/>
      <c r="F201" s="507"/>
      <c r="G201" s="507"/>
      <c r="H201" s="507"/>
      <c r="I201" s="507"/>
      <c r="J201" s="507"/>
      <c r="K201" s="573"/>
      <c r="L201" s="507"/>
      <c r="M201" s="507"/>
      <c r="N201" s="507"/>
    </row>
    <row r="202" spans="1:27" hidden="1" x14ac:dyDescent="0.2">
      <c r="B202" s="507"/>
      <c r="C202" s="507"/>
      <c r="D202" s="507"/>
      <c r="E202" s="507"/>
      <c r="F202" s="507"/>
      <c r="G202" s="507"/>
      <c r="H202" s="507"/>
      <c r="I202" s="507"/>
      <c r="J202" s="507"/>
      <c r="K202" s="573"/>
      <c r="L202" s="507"/>
      <c r="M202" s="507"/>
      <c r="N202" s="507"/>
    </row>
    <row r="203" spans="1:27" hidden="1" x14ac:dyDescent="0.2">
      <c r="B203" s="507"/>
      <c r="C203" s="507"/>
      <c r="D203" s="507"/>
      <c r="E203" s="507"/>
      <c r="F203" s="507"/>
      <c r="G203" s="507"/>
      <c r="H203" s="507"/>
      <c r="I203" s="507"/>
      <c r="J203" s="507"/>
      <c r="K203" s="573"/>
      <c r="L203" s="507"/>
      <c r="M203" s="507"/>
      <c r="N203" s="507"/>
    </row>
    <row r="204" spans="1:27" hidden="1" x14ac:dyDescent="0.2">
      <c r="B204" s="507"/>
      <c r="C204" s="507"/>
      <c r="D204" s="507"/>
      <c r="E204" s="507"/>
      <c r="F204" s="507"/>
      <c r="G204" s="507"/>
      <c r="H204" s="507"/>
      <c r="I204" s="507"/>
      <c r="J204" s="507"/>
      <c r="K204" s="573"/>
      <c r="L204" s="507"/>
      <c r="M204" s="507"/>
      <c r="N204" s="507"/>
    </row>
    <row r="205" spans="1:27" hidden="1" x14ac:dyDescent="0.2">
      <c r="B205" s="507"/>
      <c r="C205" s="507"/>
      <c r="D205" s="507"/>
      <c r="E205" s="507"/>
      <c r="F205" s="507"/>
      <c r="G205" s="507"/>
      <c r="H205" s="507"/>
      <c r="I205" s="507"/>
      <c r="J205" s="507"/>
      <c r="K205" s="573"/>
      <c r="L205" s="507"/>
      <c r="M205" s="507"/>
      <c r="N205" s="507"/>
    </row>
    <row r="206" spans="1:27" ht="15.75" hidden="1" x14ac:dyDescent="0.2">
      <c r="B206" s="576"/>
      <c r="C206" s="576"/>
      <c r="D206" s="576"/>
      <c r="E206" s="576"/>
      <c r="F206" s="577"/>
      <c r="G206" s="577"/>
      <c r="H206" s="577"/>
      <c r="I206" s="577"/>
      <c r="J206" s="577"/>
      <c r="K206" s="577"/>
      <c r="L206" s="577"/>
      <c r="M206" s="577"/>
      <c r="N206" s="507"/>
      <c r="Z206" s="507"/>
      <c r="AA206" s="507"/>
    </row>
    <row r="207" spans="1:27" s="523" customFormat="1" x14ac:dyDescent="0.2">
      <c r="A207" s="737" t="s">
        <v>449</v>
      </c>
      <c r="B207" s="737"/>
      <c r="C207" s="737"/>
      <c r="D207" s="737"/>
      <c r="E207" s="737"/>
      <c r="F207" s="737"/>
      <c r="G207" s="737"/>
      <c r="H207" s="737"/>
      <c r="I207" s="737"/>
      <c r="J207" s="737"/>
      <c r="K207" s="737"/>
      <c r="L207" s="737"/>
      <c r="M207" s="507"/>
    </row>
    <row r="208" spans="1:27" x14ac:dyDescent="0.2">
      <c r="A208" s="737"/>
      <c r="B208" s="737"/>
      <c r="C208" s="737"/>
      <c r="D208" s="737"/>
      <c r="E208" s="737"/>
      <c r="F208" s="737"/>
      <c r="G208" s="737"/>
      <c r="H208" s="737"/>
      <c r="I208" s="737"/>
      <c r="J208" s="737"/>
      <c r="K208" s="737"/>
      <c r="L208" s="737"/>
      <c r="M208" s="507"/>
      <c r="N208" s="507"/>
      <c r="Z208" s="507"/>
    </row>
    <row r="209" spans="1:26" ht="15.75" x14ac:dyDescent="0.2">
      <c r="A209" s="738" t="s">
        <v>436</v>
      </c>
      <c r="B209" s="738"/>
      <c r="C209" s="738"/>
      <c r="D209" s="738"/>
      <c r="E209" s="738"/>
      <c r="F209" s="738"/>
      <c r="G209" s="738"/>
      <c r="H209" s="738"/>
      <c r="I209" s="738"/>
      <c r="J209" s="738"/>
      <c r="K209" s="738"/>
      <c r="L209" s="738"/>
      <c r="M209" s="507"/>
      <c r="N209" s="507"/>
      <c r="Z209" s="507"/>
    </row>
    <row r="210" spans="1:26" x14ac:dyDescent="0.2">
      <c r="A210" s="737" t="s">
        <v>450</v>
      </c>
      <c r="B210" s="737"/>
      <c r="C210" s="737"/>
      <c r="D210" s="737"/>
      <c r="E210" s="737"/>
      <c r="F210" s="737"/>
      <c r="G210" s="737"/>
      <c r="H210" s="737"/>
      <c r="I210" s="737"/>
      <c r="J210" s="737"/>
      <c r="K210" s="737"/>
      <c r="L210" s="737"/>
      <c r="M210" s="507"/>
      <c r="N210" s="507"/>
      <c r="Z210" s="507"/>
    </row>
    <row r="211" spans="1:26" x14ac:dyDescent="0.2">
      <c r="A211" s="737"/>
      <c r="B211" s="737"/>
      <c r="C211" s="737"/>
      <c r="D211" s="737"/>
      <c r="E211" s="737"/>
      <c r="F211" s="737"/>
      <c r="G211" s="737"/>
      <c r="H211" s="737"/>
      <c r="I211" s="737"/>
      <c r="J211" s="737"/>
      <c r="K211" s="737"/>
      <c r="L211" s="737"/>
      <c r="M211" s="507"/>
      <c r="N211" s="507"/>
      <c r="Z211" s="507"/>
    </row>
    <row r="212" spans="1:26" ht="15.75" x14ac:dyDescent="0.2">
      <c r="A212" s="738" t="s">
        <v>436</v>
      </c>
      <c r="B212" s="738"/>
      <c r="C212" s="738"/>
      <c r="D212" s="738"/>
      <c r="E212" s="738"/>
      <c r="F212" s="738"/>
      <c r="G212" s="738"/>
      <c r="H212" s="738"/>
      <c r="I212" s="738"/>
      <c r="J212" s="738"/>
      <c r="K212" s="738"/>
      <c r="L212" s="738"/>
      <c r="M212" s="507"/>
      <c r="N212" s="507"/>
      <c r="Z212" s="507"/>
    </row>
    <row r="213" spans="1:26" x14ac:dyDescent="0.2">
      <c r="A213" s="737" t="s">
        <v>451</v>
      </c>
      <c r="B213" s="737"/>
      <c r="C213" s="737"/>
      <c r="D213" s="737"/>
      <c r="E213" s="737"/>
      <c r="F213" s="737"/>
      <c r="G213" s="737"/>
      <c r="H213" s="737"/>
      <c r="I213" s="737"/>
      <c r="J213" s="737"/>
      <c r="K213" s="737"/>
      <c r="L213" s="737"/>
      <c r="M213" s="507"/>
      <c r="N213" s="507"/>
      <c r="Z213" s="507"/>
    </row>
    <row r="214" spans="1:26" x14ac:dyDescent="0.2">
      <c r="A214" s="737"/>
      <c r="B214" s="737"/>
      <c r="C214" s="737"/>
      <c r="D214" s="737"/>
      <c r="E214" s="737"/>
      <c r="F214" s="737"/>
      <c r="G214" s="737"/>
      <c r="H214" s="737"/>
      <c r="I214" s="737"/>
      <c r="J214" s="737"/>
      <c r="K214" s="737"/>
      <c r="L214" s="737"/>
      <c r="M214" s="507"/>
      <c r="N214" s="507"/>
      <c r="Z214" s="507"/>
    </row>
    <row r="215" spans="1:26" x14ac:dyDescent="0.2">
      <c r="B215" s="507"/>
      <c r="C215" s="507"/>
      <c r="D215" s="507"/>
      <c r="E215" s="507"/>
      <c r="F215" s="507"/>
      <c r="G215" s="507"/>
      <c r="H215" s="507"/>
      <c r="I215" s="507"/>
      <c r="J215" s="507"/>
      <c r="K215" s="573"/>
      <c r="L215" s="507"/>
      <c r="M215" s="507"/>
      <c r="N215" s="507"/>
    </row>
    <row r="216" spans="1:26" x14ac:dyDescent="0.2">
      <c r="B216" s="507"/>
      <c r="C216" s="507"/>
      <c r="D216" s="507"/>
      <c r="E216" s="507"/>
      <c r="F216" s="507"/>
      <c r="G216" s="507"/>
      <c r="H216" s="507"/>
      <c r="I216" s="507"/>
      <c r="J216" s="507"/>
      <c r="K216" s="573"/>
      <c r="L216" s="507"/>
      <c r="M216" s="507"/>
      <c r="N216" s="507"/>
    </row>
    <row r="217" spans="1:26" x14ac:dyDescent="0.2">
      <c r="B217" s="507"/>
      <c r="C217" s="507"/>
      <c r="D217" s="507"/>
      <c r="E217" s="507"/>
      <c r="F217" s="507"/>
      <c r="G217" s="507"/>
      <c r="H217" s="507"/>
      <c r="I217" s="507"/>
      <c r="J217" s="507"/>
      <c r="K217" s="573"/>
      <c r="L217" s="507"/>
      <c r="M217" s="507"/>
      <c r="N217" s="507"/>
    </row>
    <row r="218" spans="1:26" x14ac:dyDescent="0.2">
      <c r="B218" s="507"/>
      <c r="C218" s="507"/>
      <c r="D218" s="507"/>
      <c r="E218" s="507"/>
      <c r="F218" s="507"/>
      <c r="G218" s="507"/>
      <c r="H218" s="507"/>
      <c r="I218" s="507"/>
      <c r="J218" s="507"/>
      <c r="K218" s="573"/>
      <c r="L218" s="507"/>
      <c r="M218" s="507"/>
      <c r="N218" s="507"/>
    </row>
    <row r="219" spans="1:26" x14ac:dyDescent="0.2">
      <c r="B219" s="507"/>
      <c r="C219" s="507"/>
      <c r="D219" s="507"/>
      <c r="E219" s="507"/>
      <c r="F219" s="507"/>
      <c r="G219" s="507"/>
      <c r="H219" s="507"/>
      <c r="I219" s="507"/>
      <c r="J219" s="507"/>
      <c r="K219" s="573"/>
      <c r="L219" s="507"/>
      <c r="M219" s="507"/>
      <c r="N219" s="507"/>
    </row>
    <row r="220" spans="1:26" x14ac:dyDescent="0.2">
      <c r="B220" s="507"/>
      <c r="C220" s="507"/>
      <c r="D220" s="507"/>
      <c r="E220" s="507"/>
      <c r="F220" s="507"/>
      <c r="G220" s="507"/>
      <c r="H220" s="507"/>
      <c r="I220" s="507"/>
      <c r="J220" s="507"/>
      <c r="K220" s="573"/>
      <c r="L220" s="507"/>
      <c r="M220" s="507"/>
      <c r="N220" s="507"/>
    </row>
    <row r="221" spans="1:26" x14ac:dyDescent="0.2">
      <c r="B221" s="507"/>
      <c r="C221" s="507"/>
      <c r="D221" s="507"/>
      <c r="E221" s="507"/>
      <c r="F221" s="507"/>
      <c r="G221" s="507"/>
      <c r="H221" s="507"/>
      <c r="I221" s="507"/>
      <c r="J221" s="507"/>
      <c r="K221" s="573"/>
      <c r="L221" s="507"/>
      <c r="M221" s="507"/>
      <c r="N221" s="507"/>
    </row>
    <row r="222" spans="1:26" x14ac:dyDescent="0.2">
      <c r="B222" s="507"/>
      <c r="C222" s="507"/>
      <c r="D222" s="507"/>
      <c r="E222" s="507"/>
      <c r="F222" s="507"/>
      <c r="G222" s="507"/>
      <c r="H222" s="507"/>
      <c r="I222" s="507"/>
      <c r="J222" s="507"/>
      <c r="K222" s="573"/>
      <c r="L222" s="507"/>
      <c r="M222" s="507"/>
      <c r="N222" s="507"/>
    </row>
    <row r="223" spans="1:26" x14ac:dyDescent="0.2">
      <c r="B223" s="507"/>
      <c r="C223" s="507"/>
      <c r="D223" s="507"/>
      <c r="E223" s="507"/>
      <c r="F223" s="507"/>
      <c r="G223" s="507"/>
      <c r="H223" s="507"/>
      <c r="I223" s="507"/>
      <c r="J223" s="507"/>
      <c r="K223" s="573"/>
      <c r="L223" s="507"/>
      <c r="M223" s="507"/>
      <c r="N223" s="507"/>
    </row>
    <row r="224" spans="1:26" x14ac:dyDescent="0.2">
      <c r="B224" s="507"/>
      <c r="C224" s="507"/>
      <c r="D224" s="507"/>
      <c r="E224" s="507"/>
      <c r="F224" s="507"/>
      <c r="G224" s="507"/>
      <c r="H224" s="507"/>
      <c r="I224" s="507"/>
      <c r="J224" s="507"/>
      <c r="K224" s="573"/>
      <c r="L224" s="507"/>
      <c r="M224" s="507"/>
      <c r="N224" s="507"/>
    </row>
    <row r="225" spans="2:14" x14ac:dyDescent="0.2">
      <c r="B225" s="507"/>
      <c r="C225" s="507"/>
      <c r="D225" s="507"/>
      <c r="E225" s="507"/>
      <c r="F225" s="507"/>
      <c r="G225" s="507"/>
      <c r="H225" s="507"/>
      <c r="I225" s="507"/>
      <c r="J225" s="507"/>
      <c r="K225" s="573"/>
      <c r="L225" s="507"/>
      <c r="M225" s="507"/>
      <c r="N225" s="507"/>
    </row>
    <row r="226" spans="2:14" x14ac:dyDescent="0.2">
      <c r="B226" s="507"/>
      <c r="C226" s="507"/>
      <c r="D226" s="507"/>
      <c r="E226" s="507"/>
      <c r="F226" s="507"/>
      <c r="G226" s="507"/>
      <c r="H226" s="507"/>
      <c r="I226" s="507"/>
      <c r="J226" s="507"/>
      <c r="K226" s="573"/>
      <c r="L226" s="507"/>
      <c r="M226" s="507"/>
      <c r="N226" s="507"/>
    </row>
    <row r="227" spans="2:14" x14ac:dyDescent="0.2">
      <c r="B227" s="507"/>
      <c r="C227" s="507"/>
      <c r="D227" s="507"/>
      <c r="E227" s="507"/>
      <c r="F227" s="507"/>
      <c r="G227" s="507"/>
      <c r="H227" s="507"/>
      <c r="I227" s="507"/>
      <c r="J227" s="507"/>
      <c r="K227" s="573"/>
      <c r="L227" s="507"/>
      <c r="M227" s="507"/>
      <c r="N227" s="507"/>
    </row>
    <row r="228" spans="2:14" x14ac:dyDescent="0.2">
      <c r="B228" s="507"/>
      <c r="C228" s="507"/>
      <c r="D228" s="507"/>
      <c r="E228" s="507"/>
      <c r="F228" s="507"/>
      <c r="G228" s="507"/>
      <c r="H228" s="507"/>
      <c r="I228" s="507"/>
      <c r="J228" s="507"/>
      <c r="K228" s="573"/>
      <c r="L228" s="507"/>
      <c r="M228" s="507"/>
      <c r="N228" s="507"/>
    </row>
    <row r="229" spans="2:14" x14ac:dyDescent="0.2">
      <c r="B229" s="507"/>
      <c r="C229" s="507"/>
      <c r="D229" s="507"/>
      <c r="E229" s="507"/>
      <c r="F229" s="507"/>
      <c r="G229" s="507"/>
      <c r="H229" s="507"/>
      <c r="I229" s="507"/>
      <c r="J229" s="507"/>
      <c r="K229" s="573"/>
      <c r="L229" s="507"/>
      <c r="M229" s="507"/>
      <c r="N229" s="507"/>
    </row>
    <row r="230" spans="2:14" x14ac:dyDescent="0.2">
      <c r="B230" s="507"/>
      <c r="C230" s="507"/>
      <c r="D230" s="507"/>
      <c r="E230" s="507"/>
      <c r="F230" s="507"/>
      <c r="G230" s="507"/>
      <c r="H230" s="507"/>
      <c r="I230" s="507"/>
      <c r="J230" s="507"/>
      <c r="K230" s="573"/>
      <c r="L230" s="507"/>
      <c r="M230" s="507"/>
      <c r="N230" s="507"/>
    </row>
    <row r="231" spans="2:14" x14ac:dyDescent="0.2">
      <c r="B231" s="507"/>
      <c r="C231" s="507"/>
      <c r="D231" s="507"/>
      <c r="E231" s="507"/>
      <c r="F231" s="507"/>
      <c r="G231" s="507"/>
      <c r="H231" s="507"/>
      <c r="I231" s="507"/>
      <c r="J231" s="507"/>
      <c r="K231" s="573"/>
      <c r="L231" s="507"/>
      <c r="M231" s="507"/>
      <c r="N231" s="507"/>
    </row>
    <row r="232" spans="2:14" x14ac:dyDescent="0.2">
      <c r="B232" s="507"/>
      <c r="C232" s="507"/>
      <c r="D232" s="507"/>
      <c r="E232" s="507"/>
      <c r="F232" s="507"/>
      <c r="G232" s="507"/>
      <c r="H232" s="507"/>
      <c r="I232" s="507"/>
      <c r="J232" s="507"/>
      <c r="K232" s="573"/>
      <c r="L232" s="507"/>
      <c r="M232" s="507"/>
      <c r="N232" s="507"/>
    </row>
    <row r="233" spans="2:14" s="507" customFormat="1" x14ac:dyDescent="0.2">
      <c r="K233" s="573"/>
    </row>
    <row r="234" spans="2:14" s="507" customFormat="1" x14ac:dyDescent="0.2">
      <c r="K234" s="573"/>
    </row>
    <row r="235" spans="2:14" s="507" customFormat="1" x14ac:dyDescent="0.2">
      <c r="K235" s="573"/>
    </row>
    <row r="236" spans="2:14" s="507" customFormat="1" x14ac:dyDescent="0.2">
      <c r="K236" s="573"/>
    </row>
    <row r="237" spans="2:14" s="507" customFormat="1" x14ac:dyDescent="0.2">
      <c r="K237" s="573"/>
    </row>
    <row r="238" spans="2:14" s="507" customFormat="1" x14ac:dyDescent="0.2">
      <c r="K238" s="573"/>
    </row>
    <row r="239" spans="2:14" s="507" customFormat="1" x14ac:dyDescent="0.2">
      <c r="K239" s="573"/>
    </row>
    <row r="240" spans="2:14" s="507" customFormat="1" x14ac:dyDescent="0.2">
      <c r="K240" s="573"/>
    </row>
    <row r="241" spans="11:11" s="507" customFormat="1" x14ac:dyDescent="0.2">
      <c r="K241" s="573"/>
    </row>
    <row r="242" spans="11:11" s="507" customFormat="1" x14ac:dyDescent="0.2">
      <c r="K242" s="573"/>
    </row>
    <row r="243" spans="11:11" s="507" customFormat="1" x14ac:dyDescent="0.2">
      <c r="K243" s="573"/>
    </row>
    <row r="244" spans="11:11" s="507" customFormat="1" x14ac:dyDescent="0.2">
      <c r="K244" s="573"/>
    </row>
    <row r="245" spans="11:11" s="507" customFormat="1" x14ac:dyDescent="0.2">
      <c r="K245" s="573"/>
    </row>
    <row r="246" spans="11:11" s="507" customFormat="1" x14ac:dyDescent="0.2">
      <c r="K246" s="573"/>
    </row>
    <row r="247" spans="11:11" s="507" customFormat="1" x14ac:dyDescent="0.2">
      <c r="K247" s="573"/>
    </row>
    <row r="248" spans="11:11" s="507" customFormat="1" x14ac:dyDescent="0.2">
      <c r="K248" s="573"/>
    </row>
    <row r="249" spans="11:11" s="507" customFormat="1" x14ac:dyDescent="0.2">
      <c r="K249" s="573"/>
    </row>
    <row r="250" spans="11:11" s="507" customFormat="1" x14ac:dyDescent="0.2">
      <c r="K250" s="573"/>
    </row>
    <row r="251" spans="11:11" s="507" customFormat="1" x14ac:dyDescent="0.2">
      <c r="K251" s="573"/>
    </row>
    <row r="252" spans="11:11" s="507" customFormat="1" x14ac:dyDescent="0.2">
      <c r="K252" s="573"/>
    </row>
    <row r="253" spans="11:11" s="507" customFormat="1" x14ac:dyDescent="0.2">
      <c r="K253" s="573"/>
    </row>
    <row r="254" spans="11:11" s="507" customFormat="1" x14ac:dyDescent="0.2">
      <c r="K254" s="573"/>
    </row>
    <row r="255" spans="11:11" s="507" customFormat="1" x14ac:dyDescent="0.2">
      <c r="K255" s="573"/>
    </row>
    <row r="256" spans="11:11" s="507" customFormat="1" x14ac:dyDescent="0.2">
      <c r="K256" s="573"/>
    </row>
    <row r="257" spans="11:11" s="507" customFormat="1" x14ac:dyDescent="0.2">
      <c r="K257" s="573"/>
    </row>
    <row r="258" spans="11:11" s="507" customFormat="1" x14ac:dyDescent="0.2">
      <c r="K258" s="573"/>
    </row>
    <row r="259" spans="11:11" s="507" customFormat="1" x14ac:dyDescent="0.2">
      <c r="K259" s="573"/>
    </row>
    <row r="260" spans="11:11" s="507" customFormat="1" x14ac:dyDescent="0.2">
      <c r="K260" s="573"/>
    </row>
    <row r="261" spans="11:11" s="507" customFormat="1" x14ac:dyDescent="0.2">
      <c r="K261" s="573"/>
    </row>
    <row r="262" spans="11:11" s="507" customFormat="1" x14ac:dyDescent="0.2">
      <c r="K262" s="573"/>
    </row>
    <row r="263" spans="11:11" s="507" customFormat="1" x14ac:dyDescent="0.2">
      <c r="K263" s="573"/>
    </row>
    <row r="264" spans="11:11" s="507" customFormat="1" x14ac:dyDescent="0.2">
      <c r="K264" s="573"/>
    </row>
    <row r="265" spans="11:11" s="507" customFormat="1" x14ac:dyDescent="0.2">
      <c r="K265" s="573"/>
    </row>
    <row r="266" spans="11:11" s="507" customFormat="1" x14ac:dyDescent="0.2">
      <c r="K266" s="573"/>
    </row>
    <row r="267" spans="11:11" s="507" customFormat="1" x14ac:dyDescent="0.2">
      <c r="K267" s="573"/>
    </row>
    <row r="268" spans="11:11" s="507" customFormat="1" x14ac:dyDescent="0.2">
      <c r="K268" s="573"/>
    </row>
    <row r="269" spans="11:11" s="507" customFormat="1" x14ac:dyDescent="0.2">
      <c r="K269" s="573"/>
    </row>
    <row r="270" spans="11:11" s="507" customFormat="1" x14ac:dyDescent="0.2">
      <c r="K270" s="573"/>
    </row>
    <row r="271" spans="11:11" s="507" customFormat="1" x14ac:dyDescent="0.2">
      <c r="K271" s="573"/>
    </row>
    <row r="272" spans="11:11" s="507" customFormat="1" x14ac:dyDescent="0.2">
      <c r="K272" s="573"/>
    </row>
    <row r="273" spans="11:11" s="507" customFormat="1" x14ac:dyDescent="0.2">
      <c r="K273" s="573"/>
    </row>
    <row r="274" spans="11:11" s="507" customFormat="1" x14ac:dyDescent="0.2">
      <c r="K274" s="573"/>
    </row>
    <row r="275" spans="11:11" s="507" customFormat="1" x14ac:dyDescent="0.2">
      <c r="K275" s="573"/>
    </row>
    <row r="276" spans="11:11" s="507" customFormat="1" x14ac:dyDescent="0.2">
      <c r="K276" s="573"/>
    </row>
    <row r="277" spans="11:11" s="507" customFormat="1" x14ac:dyDescent="0.2">
      <c r="K277" s="573"/>
    </row>
    <row r="278" spans="11:11" s="507" customFormat="1" x14ac:dyDescent="0.2">
      <c r="K278" s="573"/>
    </row>
    <row r="279" spans="11:11" s="507" customFormat="1" x14ac:dyDescent="0.2">
      <c r="K279" s="573"/>
    </row>
    <row r="280" spans="11:11" s="507" customFormat="1" x14ac:dyDescent="0.2">
      <c r="K280" s="573"/>
    </row>
    <row r="281" spans="11:11" s="507" customFormat="1" x14ac:dyDescent="0.2">
      <c r="K281" s="573"/>
    </row>
    <row r="282" spans="11:11" s="507" customFormat="1" x14ac:dyDescent="0.2">
      <c r="K282" s="573"/>
    </row>
    <row r="283" spans="11:11" s="507" customFormat="1" x14ac:dyDescent="0.2">
      <c r="K283" s="573"/>
    </row>
    <row r="284" spans="11:11" s="507" customFormat="1" x14ac:dyDescent="0.2">
      <c r="K284" s="573"/>
    </row>
    <row r="285" spans="11:11" s="507" customFormat="1" x14ac:dyDescent="0.2">
      <c r="K285" s="573"/>
    </row>
    <row r="286" spans="11:11" s="507" customFormat="1" x14ac:dyDescent="0.2">
      <c r="K286" s="573"/>
    </row>
    <row r="287" spans="11:11" s="507" customFormat="1" x14ac:dyDescent="0.2">
      <c r="K287" s="573"/>
    </row>
    <row r="288" spans="11:11" s="507" customFormat="1" x14ac:dyDescent="0.2">
      <c r="K288" s="573"/>
    </row>
    <row r="289" spans="11:11" s="507" customFormat="1" x14ac:dyDescent="0.2">
      <c r="K289" s="573"/>
    </row>
    <row r="290" spans="11:11" s="507" customFormat="1" x14ac:dyDescent="0.2">
      <c r="K290" s="573"/>
    </row>
    <row r="291" spans="11:11" s="507" customFormat="1" x14ac:dyDescent="0.2">
      <c r="K291" s="573"/>
    </row>
    <row r="292" spans="11:11" s="507" customFormat="1" x14ac:dyDescent="0.2">
      <c r="K292" s="573"/>
    </row>
    <row r="293" spans="11:11" s="507" customFormat="1" x14ac:dyDescent="0.2">
      <c r="K293" s="573"/>
    </row>
    <row r="294" spans="11:11" s="507" customFormat="1" x14ac:dyDescent="0.2">
      <c r="K294" s="573"/>
    </row>
    <row r="295" spans="11:11" s="507" customFormat="1" x14ac:dyDescent="0.2">
      <c r="K295" s="573"/>
    </row>
    <row r="296" spans="11:11" s="507" customFormat="1" x14ac:dyDescent="0.2">
      <c r="K296" s="573"/>
    </row>
    <row r="297" spans="11:11" s="507" customFormat="1" x14ac:dyDescent="0.2">
      <c r="K297" s="573"/>
    </row>
    <row r="298" spans="11:11" s="507" customFormat="1" x14ac:dyDescent="0.2">
      <c r="K298" s="573"/>
    </row>
    <row r="299" spans="11:11" s="507" customFormat="1" x14ac:dyDescent="0.2">
      <c r="K299" s="573"/>
    </row>
    <row r="300" spans="11:11" s="507" customFormat="1" x14ac:dyDescent="0.2">
      <c r="K300" s="573"/>
    </row>
    <row r="301" spans="11:11" s="507" customFormat="1" x14ac:dyDescent="0.2">
      <c r="K301" s="573"/>
    </row>
    <row r="302" spans="11:11" s="507" customFormat="1" x14ac:dyDescent="0.2">
      <c r="K302" s="573"/>
    </row>
    <row r="303" spans="11:11" s="507" customFormat="1" x14ac:dyDescent="0.2">
      <c r="K303" s="573"/>
    </row>
    <row r="304" spans="11:11" s="507" customFormat="1" x14ac:dyDescent="0.2">
      <c r="K304" s="573"/>
    </row>
    <row r="305" spans="11:11" s="507" customFormat="1" x14ac:dyDescent="0.2">
      <c r="K305" s="573"/>
    </row>
    <row r="306" spans="11:11" s="507" customFormat="1" x14ac:dyDescent="0.2">
      <c r="K306" s="573"/>
    </row>
    <row r="307" spans="11:11" s="507" customFormat="1" x14ac:dyDescent="0.2">
      <c r="K307" s="573"/>
    </row>
    <row r="308" spans="11:11" s="507" customFormat="1" x14ac:dyDescent="0.2">
      <c r="K308" s="573"/>
    </row>
    <row r="309" spans="11:11" s="507" customFormat="1" x14ac:dyDescent="0.2">
      <c r="K309" s="573"/>
    </row>
    <row r="310" spans="11:11" s="507" customFormat="1" x14ac:dyDescent="0.2">
      <c r="K310" s="573"/>
    </row>
    <row r="311" spans="11:11" s="507" customFormat="1" x14ac:dyDescent="0.2">
      <c r="K311" s="573"/>
    </row>
    <row r="312" spans="11:11" s="507" customFormat="1" x14ac:dyDescent="0.2">
      <c r="K312" s="573"/>
    </row>
    <row r="313" spans="11:11" s="507" customFormat="1" x14ac:dyDescent="0.2">
      <c r="K313" s="573"/>
    </row>
    <row r="314" spans="11:11" s="507" customFormat="1" x14ac:dyDescent="0.2">
      <c r="K314" s="573"/>
    </row>
    <row r="315" spans="11:11" s="507" customFormat="1" x14ac:dyDescent="0.2">
      <c r="K315" s="573"/>
    </row>
    <row r="316" spans="11:11" s="507" customFormat="1" x14ac:dyDescent="0.2">
      <c r="K316" s="573"/>
    </row>
    <row r="317" spans="11:11" s="507" customFormat="1" x14ac:dyDescent="0.2">
      <c r="K317" s="573"/>
    </row>
    <row r="318" spans="11:11" s="507" customFormat="1" x14ac:dyDescent="0.2">
      <c r="K318" s="573"/>
    </row>
    <row r="319" spans="11:11" s="507" customFormat="1" x14ac:dyDescent="0.2">
      <c r="K319" s="573"/>
    </row>
    <row r="320" spans="11:11" s="507" customFormat="1" x14ac:dyDescent="0.2">
      <c r="K320" s="573"/>
    </row>
    <row r="321" spans="11:11" s="507" customFormat="1" x14ac:dyDescent="0.2">
      <c r="K321" s="573"/>
    </row>
    <row r="322" spans="11:11" s="507" customFormat="1" x14ac:dyDescent="0.2">
      <c r="K322" s="573"/>
    </row>
    <row r="323" spans="11:11" s="507" customFormat="1" x14ac:dyDescent="0.2">
      <c r="K323" s="573"/>
    </row>
    <row r="324" spans="11:11" s="507" customFormat="1" x14ac:dyDescent="0.2">
      <c r="K324" s="573"/>
    </row>
    <row r="325" spans="11:11" s="507" customFormat="1" x14ac:dyDescent="0.2">
      <c r="K325" s="573"/>
    </row>
    <row r="326" spans="11:11" s="507" customFormat="1" x14ac:dyDescent="0.2">
      <c r="K326" s="573"/>
    </row>
    <row r="327" spans="11:11" s="507" customFormat="1" x14ac:dyDescent="0.2">
      <c r="K327" s="573"/>
    </row>
    <row r="328" spans="11:11" s="507" customFormat="1" x14ac:dyDescent="0.2">
      <c r="K328" s="573"/>
    </row>
    <row r="329" spans="11:11" s="507" customFormat="1" x14ac:dyDescent="0.2">
      <c r="K329" s="573"/>
    </row>
    <row r="330" spans="11:11" s="507" customFormat="1" x14ac:dyDescent="0.2">
      <c r="K330" s="573"/>
    </row>
    <row r="331" spans="11:11" s="507" customFormat="1" x14ac:dyDescent="0.2">
      <c r="K331" s="573"/>
    </row>
    <row r="332" spans="11:11" s="507" customFormat="1" x14ac:dyDescent="0.2">
      <c r="K332" s="573"/>
    </row>
    <row r="333" spans="11:11" s="507" customFormat="1" x14ac:dyDescent="0.2">
      <c r="K333" s="573"/>
    </row>
    <row r="334" spans="11:11" s="507" customFormat="1" x14ac:dyDescent="0.2">
      <c r="K334" s="573"/>
    </row>
    <row r="335" spans="11:11" s="507" customFormat="1" x14ac:dyDescent="0.2">
      <c r="K335" s="573"/>
    </row>
    <row r="336" spans="11:11" s="507" customFormat="1" x14ac:dyDescent="0.2">
      <c r="K336" s="573"/>
    </row>
    <row r="337" spans="11:11" s="507" customFormat="1" x14ac:dyDescent="0.2">
      <c r="K337" s="573"/>
    </row>
    <row r="338" spans="11:11" s="507" customFormat="1" x14ac:dyDescent="0.2">
      <c r="K338" s="573"/>
    </row>
    <row r="339" spans="11:11" s="507" customFormat="1" x14ac:dyDescent="0.2">
      <c r="K339" s="573"/>
    </row>
    <row r="340" spans="11:11" s="507" customFormat="1" x14ac:dyDescent="0.2">
      <c r="K340" s="573"/>
    </row>
    <row r="341" spans="11:11" s="507" customFormat="1" x14ac:dyDescent="0.2">
      <c r="K341" s="573"/>
    </row>
    <row r="342" spans="11:11" s="507" customFormat="1" x14ac:dyDescent="0.2">
      <c r="K342" s="573"/>
    </row>
    <row r="343" spans="11:11" s="507" customFormat="1" x14ac:dyDescent="0.2">
      <c r="K343" s="573"/>
    </row>
    <row r="344" spans="11:11" s="507" customFormat="1" x14ac:dyDescent="0.2">
      <c r="K344" s="573"/>
    </row>
    <row r="345" spans="11:11" s="507" customFormat="1" x14ac:dyDescent="0.2">
      <c r="K345" s="573"/>
    </row>
    <row r="346" spans="11:11" s="507" customFormat="1" x14ac:dyDescent="0.2">
      <c r="K346" s="573"/>
    </row>
    <row r="347" spans="11:11" s="507" customFormat="1" x14ac:dyDescent="0.2">
      <c r="K347" s="573"/>
    </row>
    <row r="348" spans="11:11" s="507" customFormat="1" x14ac:dyDescent="0.2">
      <c r="K348" s="573"/>
    </row>
    <row r="349" spans="11:11" s="507" customFormat="1" x14ac:dyDescent="0.2">
      <c r="K349" s="573"/>
    </row>
    <row r="350" spans="11:11" s="507" customFormat="1" x14ac:dyDescent="0.2">
      <c r="K350" s="573"/>
    </row>
    <row r="351" spans="11:11" s="507" customFormat="1" x14ac:dyDescent="0.2">
      <c r="K351" s="573"/>
    </row>
    <row r="352" spans="11:11" s="507" customFormat="1" x14ac:dyDescent="0.2">
      <c r="K352" s="573"/>
    </row>
    <row r="353" spans="11:11" s="507" customFormat="1" x14ac:dyDescent="0.2">
      <c r="K353" s="573"/>
    </row>
    <row r="354" spans="11:11" s="507" customFormat="1" x14ac:dyDescent="0.2">
      <c r="K354" s="573"/>
    </row>
    <row r="355" spans="11:11" s="507" customFormat="1" x14ac:dyDescent="0.2">
      <c r="K355" s="573"/>
    </row>
    <row r="356" spans="11:11" s="507" customFormat="1" x14ac:dyDescent="0.2">
      <c r="K356" s="573"/>
    </row>
    <row r="357" spans="11:11" s="507" customFormat="1" x14ac:dyDescent="0.2">
      <c r="K357" s="573"/>
    </row>
    <row r="358" spans="11:11" s="507" customFormat="1" x14ac:dyDescent="0.2">
      <c r="K358" s="573"/>
    </row>
    <row r="359" spans="11:11" s="507" customFormat="1" x14ac:dyDescent="0.2">
      <c r="K359" s="573"/>
    </row>
    <row r="360" spans="11:11" s="507" customFormat="1" x14ac:dyDescent="0.2">
      <c r="K360" s="573"/>
    </row>
    <row r="361" spans="11:11" s="507" customFormat="1" x14ac:dyDescent="0.2">
      <c r="K361" s="573"/>
    </row>
    <row r="362" spans="11:11" s="507" customFormat="1" x14ac:dyDescent="0.2">
      <c r="K362" s="573"/>
    </row>
    <row r="363" spans="11:11" s="507" customFormat="1" x14ac:dyDescent="0.2">
      <c r="K363" s="573"/>
    </row>
    <row r="364" spans="11:11" s="507" customFormat="1" x14ac:dyDescent="0.2">
      <c r="K364" s="573"/>
    </row>
    <row r="365" spans="11:11" s="507" customFormat="1" x14ac:dyDescent="0.2">
      <c r="K365" s="573"/>
    </row>
    <row r="366" spans="11:11" s="507" customFormat="1" x14ac:dyDescent="0.2">
      <c r="K366" s="573"/>
    </row>
    <row r="367" spans="11:11" s="507" customFormat="1" x14ac:dyDescent="0.2">
      <c r="K367" s="573"/>
    </row>
    <row r="368" spans="11:11" s="507" customFormat="1" x14ac:dyDescent="0.2">
      <c r="K368" s="573"/>
    </row>
    <row r="369" spans="11:11" s="507" customFormat="1" x14ac:dyDescent="0.2">
      <c r="K369" s="573"/>
    </row>
    <row r="370" spans="11:11" s="507" customFormat="1" x14ac:dyDescent="0.2">
      <c r="K370" s="573"/>
    </row>
    <row r="371" spans="11:11" s="507" customFormat="1" x14ac:dyDescent="0.2">
      <c r="K371" s="573"/>
    </row>
    <row r="372" spans="11:11" s="507" customFormat="1" x14ac:dyDescent="0.2">
      <c r="K372" s="573"/>
    </row>
    <row r="373" spans="11:11" s="507" customFormat="1" x14ac:dyDescent="0.2">
      <c r="K373" s="573"/>
    </row>
    <row r="374" spans="11:11" s="507" customFormat="1" x14ac:dyDescent="0.2">
      <c r="K374" s="573"/>
    </row>
    <row r="375" spans="11:11" s="507" customFormat="1" x14ac:dyDescent="0.2">
      <c r="K375" s="573"/>
    </row>
    <row r="376" spans="11:11" s="507" customFormat="1" x14ac:dyDescent="0.2">
      <c r="K376" s="573"/>
    </row>
    <row r="377" spans="11:11" s="507" customFormat="1" x14ac:dyDescent="0.2">
      <c r="K377" s="573"/>
    </row>
    <row r="378" spans="11:11" s="507" customFormat="1" x14ac:dyDescent="0.2">
      <c r="K378" s="573"/>
    </row>
    <row r="379" spans="11:11" s="507" customFormat="1" x14ac:dyDescent="0.2">
      <c r="K379" s="573"/>
    </row>
    <row r="380" spans="11:11" s="507" customFormat="1" x14ac:dyDescent="0.2">
      <c r="K380" s="573"/>
    </row>
    <row r="381" spans="11:11" s="507" customFormat="1" x14ac:dyDescent="0.2">
      <c r="K381" s="573"/>
    </row>
    <row r="382" spans="11:11" s="507" customFormat="1" x14ac:dyDescent="0.2">
      <c r="K382" s="573"/>
    </row>
    <row r="383" spans="11:11" s="507" customFormat="1" x14ac:dyDescent="0.2">
      <c r="K383" s="573"/>
    </row>
    <row r="384" spans="11:11" s="507" customFormat="1" x14ac:dyDescent="0.2">
      <c r="K384" s="573"/>
    </row>
    <row r="385" spans="11:11" s="507" customFormat="1" x14ac:dyDescent="0.2">
      <c r="K385" s="573"/>
    </row>
    <row r="386" spans="11:11" s="507" customFormat="1" x14ac:dyDescent="0.2">
      <c r="K386" s="573"/>
    </row>
    <row r="387" spans="11:11" s="507" customFormat="1" x14ac:dyDescent="0.2">
      <c r="K387" s="573"/>
    </row>
    <row r="388" spans="11:11" s="507" customFormat="1" x14ac:dyDescent="0.2">
      <c r="K388" s="573"/>
    </row>
    <row r="389" spans="11:11" s="507" customFormat="1" x14ac:dyDescent="0.2">
      <c r="K389" s="573"/>
    </row>
    <row r="390" spans="11:11" s="507" customFormat="1" x14ac:dyDescent="0.2">
      <c r="K390" s="573"/>
    </row>
    <row r="391" spans="11:11" s="507" customFormat="1" x14ac:dyDescent="0.2">
      <c r="K391" s="573"/>
    </row>
    <row r="392" spans="11:11" s="507" customFormat="1" x14ac:dyDescent="0.2">
      <c r="K392" s="573"/>
    </row>
    <row r="393" spans="11:11" s="507" customFormat="1" x14ac:dyDescent="0.2">
      <c r="K393" s="573"/>
    </row>
    <row r="394" spans="11:11" s="507" customFormat="1" x14ac:dyDescent="0.2">
      <c r="K394" s="573"/>
    </row>
    <row r="395" spans="11:11" s="507" customFormat="1" x14ac:dyDescent="0.2">
      <c r="K395" s="573"/>
    </row>
    <row r="396" spans="11:11" s="507" customFormat="1" x14ac:dyDescent="0.2">
      <c r="K396" s="573"/>
    </row>
    <row r="397" spans="11:11" s="507" customFormat="1" x14ac:dyDescent="0.2">
      <c r="K397" s="573"/>
    </row>
    <row r="398" spans="11:11" s="507" customFormat="1" x14ac:dyDescent="0.2">
      <c r="K398" s="573"/>
    </row>
    <row r="399" spans="11:11" s="507" customFormat="1" x14ac:dyDescent="0.2">
      <c r="K399" s="573"/>
    </row>
    <row r="400" spans="11:11" s="507" customFormat="1" x14ac:dyDescent="0.2">
      <c r="K400" s="573"/>
    </row>
    <row r="401" spans="11:11" s="507" customFormat="1" x14ac:dyDescent="0.2">
      <c r="K401" s="573"/>
    </row>
    <row r="402" spans="11:11" s="507" customFormat="1" x14ac:dyDescent="0.2">
      <c r="K402" s="573"/>
    </row>
    <row r="403" spans="11:11" s="507" customFormat="1" x14ac:dyDescent="0.2">
      <c r="K403" s="573"/>
    </row>
    <row r="404" spans="11:11" s="507" customFormat="1" x14ac:dyDescent="0.2">
      <c r="K404" s="573"/>
    </row>
    <row r="405" spans="11:11" s="507" customFormat="1" x14ac:dyDescent="0.2">
      <c r="K405" s="573"/>
    </row>
    <row r="406" spans="11:11" s="507" customFormat="1" x14ac:dyDescent="0.2">
      <c r="K406" s="573"/>
    </row>
    <row r="407" spans="11:11" s="507" customFormat="1" x14ac:dyDescent="0.2">
      <c r="K407" s="573"/>
    </row>
    <row r="408" spans="11:11" s="507" customFormat="1" x14ac:dyDescent="0.2">
      <c r="K408" s="573"/>
    </row>
    <row r="409" spans="11:11" s="507" customFormat="1" x14ac:dyDescent="0.2">
      <c r="K409" s="573"/>
    </row>
    <row r="410" spans="11:11" s="507" customFormat="1" x14ac:dyDescent="0.2">
      <c r="K410" s="573"/>
    </row>
    <row r="411" spans="11:11" s="507" customFormat="1" x14ac:dyDescent="0.2">
      <c r="K411" s="573"/>
    </row>
    <row r="412" spans="11:11" s="507" customFormat="1" x14ac:dyDescent="0.2">
      <c r="K412" s="573"/>
    </row>
    <row r="413" spans="11:11" s="507" customFormat="1" x14ac:dyDescent="0.2">
      <c r="K413" s="573"/>
    </row>
    <row r="414" spans="11:11" s="507" customFormat="1" x14ac:dyDescent="0.2">
      <c r="K414" s="573"/>
    </row>
    <row r="415" spans="11:11" s="507" customFormat="1" x14ac:dyDescent="0.2">
      <c r="K415" s="573"/>
    </row>
    <row r="416" spans="11:11" s="507" customFormat="1" x14ac:dyDescent="0.2">
      <c r="K416" s="573"/>
    </row>
    <row r="417" spans="11:11" s="507" customFormat="1" x14ac:dyDescent="0.2">
      <c r="K417" s="573"/>
    </row>
    <row r="418" spans="11:11" s="507" customFormat="1" x14ac:dyDescent="0.2">
      <c r="K418" s="573"/>
    </row>
    <row r="419" spans="11:11" s="507" customFormat="1" x14ac:dyDescent="0.2">
      <c r="K419" s="573"/>
    </row>
    <row r="420" spans="11:11" s="507" customFormat="1" x14ac:dyDescent="0.2">
      <c r="K420" s="573"/>
    </row>
    <row r="421" spans="11:11" s="507" customFormat="1" x14ac:dyDescent="0.2">
      <c r="K421" s="573"/>
    </row>
    <row r="422" spans="11:11" s="507" customFormat="1" x14ac:dyDescent="0.2">
      <c r="K422" s="573"/>
    </row>
    <row r="423" spans="11:11" s="507" customFormat="1" x14ac:dyDescent="0.2">
      <c r="K423" s="573"/>
    </row>
    <row r="424" spans="11:11" s="507" customFormat="1" x14ac:dyDescent="0.2">
      <c r="K424" s="573"/>
    </row>
    <row r="425" spans="11:11" s="507" customFormat="1" x14ac:dyDescent="0.2">
      <c r="K425" s="573"/>
    </row>
    <row r="426" spans="11:11" s="507" customFormat="1" x14ac:dyDescent="0.2">
      <c r="K426" s="573"/>
    </row>
    <row r="427" spans="11:11" s="507" customFormat="1" x14ac:dyDescent="0.2">
      <c r="K427" s="573"/>
    </row>
    <row r="428" spans="11:11" s="507" customFormat="1" x14ac:dyDescent="0.2">
      <c r="K428" s="573"/>
    </row>
    <row r="429" spans="11:11" s="507" customFormat="1" x14ac:dyDescent="0.2">
      <c r="K429" s="573"/>
    </row>
    <row r="430" spans="11:11" s="507" customFormat="1" x14ac:dyDescent="0.2">
      <c r="K430" s="573"/>
    </row>
    <row r="431" spans="11:11" s="507" customFormat="1" x14ac:dyDescent="0.2">
      <c r="K431" s="573"/>
    </row>
    <row r="432" spans="11:11" s="507" customFormat="1" x14ac:dyDescent="0.2">
      <c r="K432" s="573"/>
    </row>
    <row r="433" spans="11:11" s="507" customFormat="1" x14ac:dyDescent="0.2">
      <c r="K433" s="573"/>
    </row>
    <row r="434" spans="11:11" s="507" customFormat="1" x14ac:dyDescent="0.2">
      <c r="K434" s="573"/>
    </row>
    <row r="435" spans="11:11" s="507" customFormat="1" x14ac:dyDescent="0.2">
      <c r="K435" s="573"/>
    </row>
    <row r="436" spans="11:11" s="507" customFormat="1" x14ac:dyDescent="0.2">
      <c r="K436" s="573"/>
    </row>
    <row r="437" spans="11:11" s="507" customFormat="1" x14ac:dyDescent="0.2">
      <c r="K437" s="573"/>
    </row>
    <row r="438" spans="11:11" s="507" customFormat="1" x14ac:dyDescent="0.2">
      <c r="K438" s="573"/>
    </row>
    <row r="439" spans="11:11" s="507" customFormat="1" x14ac:dyDescent="0.2">
      <c r="K439" s="573"/>
    </row>
    <row r="440" spans="11:11" s="507" customFormat="1" x14ac:dyDescent="0.2">
      <c r="K440" s="573"/>
    </row>
    <row r="441" spans="11:11" s="507" customFormat="1" x14ac:dyDescent="0.2">
      <c r="K441" s="573"/>
    </row>
    <row r="442" spans="11:11" s="507" customFormat="1" x14ac:dyDescent="0.2">
      <c r="K442" s="573"/>
    </row>
    <row r="443" spans="11:11" s="507" customFormat="1" x14ac:dyDescent="0.2">
      <c r="K443" s="573"/>
    </row>
    <row r="444" spans="11:11" s="507" customFormat="1" x14ac:dyDescent="0.2">
      <c r="K444" s="573"/>
    </row>
    <row r="445" spans="11:11" s="507" customFormat="1" x14ac:dyDescent="0.2">
      <c r="K445" s="573"/>
    </row>
    <row r="446" spans="11:11" s="507" customFormat="1" x14ac:dyDescent="0.2">
      <c r="K446" s="573"/>
    </row>
    <row r="447" spans="11:11" s="507" customFormat="1" x14ac:dyDescent="0.2">
      <c r="K447" s="573"/>
    </row>
    <row r="448" spans="11:11" s="507" customFormat="1" x14ac:dyDescent="0.2">
      <c r="K448" s="573"/>
    </row>
    <row r="449" spans="11:11" s="507" customFormat="1" x14ac:dyDescent="0.2">
      <c r="K449" s="573"/>
    </row>
    <row r="450" spans="11:11" s="507" customFormat="1" x14ac:dyDescent="0.2">
      <c r="K450" s="573"/>
    </row>
    <row r="451" spans="11:11" s="507" customFormat="1" x14ac:dyDescent="0.2">
      <c r="K451" s="573"/>
    </row>
    <row r="452" spans="11:11" s="507" customFormat="1" x14ac:dyDescent="0.2">
      <c r="K452" s="573"/>
    </row>
    <row r="453" spans="11:11" s="507" customFormat="1" x14ac:dyDescent="0.2">
      <c r="K453" s="573"/>
    </row>
    <row r="454" spans="11:11" s="507" customFormat="1" x14ac:dyDescent="0.2">
      <c r="K454" s="573"/>
    </row>
    <row r="455" spans="11:11" s="507" customFormat="1" x14ac:dyDescent="0.2">
      <c r="K455" s="573"/>
    </row>
    <row r="456" spans="11:11" s="507" customFormat="1" x14ac:dyDescent="0.2">
      <c r="K456" s="573"/>
    </row>
    <row r="457" spans="11:11" s="507" customFormat="1" x14ac:dyDescent="0.2">
      <c r="K457" s="573"/>
    </row>
    <row r="458" spans="11:11" s="507" customFormat="1" x14ac:dyDescent="0.2">
      <c r="K458" s="573"/>
    </row>
    <row r="459" spans="11:11" s="507" customFormat="1" x14ac:dyDescent="0.2">
      <c r="K459" s="573"/>
    </row>
    <row r="460" spans="11:11" s="507" customFormat="1" x14ac:dyDescent="0.2">
      <c r="K460" s="573"/>
    </row>
    <row r="461" spans="11:11" s="507" customFormat="1" x14ac:dyDescent="0.2">
      <c r="K461" s="573"/>
    </row>
    <row r="462" spans="11:11" s="507" customFormat="1" x14ac:dyDescent="0.2">
      <c r="K462" s="573"/>
    </row>
    <row r="463" spans="11:11" s="507" customFormat="1" x14ac:dyDescent="0.2">
      <c r="K463" s="573"/>
    </row>
    <row r="464" spans="11:11" s="507" customFormat="1" x14ac:dyDescent="0.2">
      <c r="K464" s="573"/>
    </row>
    <row r="465" spans="11:11" s="507" customFormat="1" x14ac:dyDescent="0.2">
      <c r="K465" s="573"/>
    </row>
    <row r="466" spans="11:11" s="507" customFormat="1" x14ac:dyDescent="0.2">
      <c r="K466" s="573"/>
    </row>
    <row r="467" spans="11:11" s="507" customFormat="1" x14ac:dyDescent="0.2">
      <c r="K467" s="573"/>
    </row>
    <row r="468" spans="11:11" s="507" customFormat="1" x14ac:dyDescent="0.2">
      <c r="K468" s="573"/>
    </row>
    <row r="469" spans="11:11" s="507" customFormat="1" x14ac:dyDescent="0.2">
      <c r="K469" s="573"/>
    </row>
    <row r="470" spans="11:11" s="507" customFormat="1" x14ac:dyDescent="0.2">
      <c r="K470" s="573"/>
    </row>
    <row r="471" spans="11:11" s="507" customFormat="1" x14ac:dyDescent="0.2">
      <c r="K471" s="573"/>
    </row>
    <row r="472" spans="11:11" s="507" customFormat="1" x14ac:dyDescent="0.2">
      <c r="K472" s="573"/>
    </row>
    <row r="473" spans="11:11" s="507" customFormat="1" x14ac:dyDescent="0.2">
      <c r="K473" s="573"/>
    </row>
    <row r="474" spans="11:11" s="507" customFormat="1" x14ac:dyDescent="0.2">
      <c r="K474" s="573"/>
    </row>
    <row r="475" spans="11:11" s="507" customFormat="1" x14ac:dyDescent="0.2">
      <c r="K475" s="573"/>
    </row>
    <row r="476" spans="11:11" s="507" customFormat="1" x14ac:dyDescent="0.2">
      <c r="K476" s="573"/>
    </row>
    <row r="477" spans="11:11" s="507" customFormat="1" x14ac:dyDescent="0.2">
      <c r="K477" s="573"/>
    </row>
    <row r="478" spans="11:11" s="507" customFormat="1" x14ac:dyDescent="0.2">
      <c r="K478" s="573"/>
    </row>
    <row r="479" spans="11:11" s="507" customFormat="1" x14ac:dyDescent="0.2">
      <c r="K479" s="573"/>
    </row>
    <row r="480" spans="11:11" s="507" customFormat="1" x14ac:dyDescent="0.2">
      <c r="K480" s="573"/>
    </row>
    <row r="481" spans="11:11" s="507" customFormat="1" x14ac:dyDescent="0.2">
      <c r="K481" s="573"/>
    </row>
    <row r="482" spans="11:11" s="507" customFormat="1" x14ac:dyDescent="0.2">
      <c r="K482" s="573"/>
    </row>
    <row r="483" spans="11:11" s="507" customFormat="1" x14ac:dyDescent="0.2">
      <c r="K483" s="573"/>
    </row>
    <row r="484" spans="11:11" s="507" customFormat="1" x14ac:dyDescent="0.2">
      <c r="K484" s="573"/>
    </row>
    <row r="485" spans="11:11" s="507" customFormat="1" x14ac:dyDescent="0.2">
      <c r="K485" s="573"/>
    </row>
    <row r="486" spans="11:11" s="507" customFormat="1" x14ac:dyDescent="0.2">
      <c r="K486" s="573"/>
    </row>
    <row r="487" spans="11:11" s="507" customFormat="1" x14ac:dyDescent="0.2">
      <c r="K487" s="573"/>
    </row>
  </sheetData>
  <sheetProtection password="E421" sheet="1" objects="1" scenarios="1"/>
  <mergeCells count="136">
    <mergeCell ref="A212:L212"/>
    <mergeCell ref="A213:L214"/>
    <mergeCell ref="D132:E132"/>
    <mergeCell ref="D133:E133"/>
    <mergeCell ref="D134:E134"/>
    <mergeCell ref="A207:L208"/>
    <mergeCell ref="A209:L209"/>
    <mergeCell ref="A210:L211"/>
    <mergeCell ref="D126:E126"/>
    <mergeCell ref="D127:E127"/>
    <mergeCell ref="D128:E128"/>
    <mergeCell ref="D129:E129"/>
    <mergeCell ref="D130:E130"/>
    <mergeCell ref="D131:E131"/>
    <mergeCell ref="G118:M119"/>
    <mergeCell ref="D121:E121"/>
    <mergeCell ref="D122:E122"/>
    <mergeCell ref="D123:E123"/>
    <mergeCell ref="D124:E124"/>
    <mergeCell ref="D125:E125"/>
    <mergeCell ref="B91:C91"/>
    <mergeCell ref="D91:M91"/>
    <mergeCell ref="B92:C92"/>
    <mergeCell ref="D92:M92"/>
    <mergeCell ref="B93:C93"/>
    <mergeCell ref="D93:M93"/>
    <mergeCell ref="D87:M87"/>
    <mergeCell ref="B88:M88"/>
    <mergeCell ref="B89:C89"/>
    <mergeCell ref="D89:M89"/>
    <mergeCell ref="B90:C90"/>
    <mergeCell ref="D90:M90"/>
    <mergeCell ref="B83:M83"/>
    <mergeCell ref="B84:C84"/>
    <mergeCell ref="D84:M84"/>
    <mergeCell ref="B85:C85"/>
    <mergeCell ref="D85:M85"/>
    <mergeCell ref="B86:C86"/>
    <mergeCell ref="D86:M86"/>
    <mergeCell ref="N75:N93"/>
    <mergeCell ref="B76:C76"/>
    <mergeCell ref="D76:M76"/>
    <mergeCell ref="B77:C77"/>
    <mergeCell ref="D77:M77"/>
    <mergeCell ref="B78:M78"/>
    <mergeCell ref="B79:C79"/>
    <mergeCell ref="B67:C67"/>
    <mergeCell ref="D67:M67"/>
    <mergeCell ref="D68:F68"/>
    <mergeCell ref="G68:I68"/>
    <mergeCell ref="D69:F73"/>
    <mergeCell ref="G69:I73"/>
    <mergeCell ref="D79:M79"/>
    <mergeCell ref="B80:C80"/>
    <mergeCell ref="D80:M80"/>
    <mergeCell ref="B81:C81"/>
    <mergeCell ref="D81:M81"/>
    <mergeCell ref="B82:C82"/>
    <mergeCell ref="D82:M82"/>
    <mergeCell ref="B74:C74"/>
    <mergeCell ref="D74:M74"/>
    <mergeCell ref="B75:M75"/>
    <mergeCell ref="B87:C87"/>
    <mergeCell ref="D59:F63"/>
    <mergeCell ref="G59:I63"/>
    <mergeCell ref="B64:C64"/>
    <mergeCell ref="D64:M64"/>
    <mergeCell ref="B65:M65"/>
    <mergeCell ref="B66:C66"/>
    <mergeCell ref="D66:M66"/>
    <mergeCell ref="B55:M55"/>
    <mergeCell ref="B56:C56"/>
    <mergeCell ref="D56:M56"/>
    <mergeCell ref="B57:C57"/>
    <mergeCell ref="D57:M57"/>
    <mergeCell ref="D58:F58"/>
    <mergeCell ref="G58:I58"/>
    <mergeCell ref="D48:F48"/>
    <mergeCell ref="G48:I48"/>
    <mergeCell ref="D49:F53"/>
    <mergeCell ref="G49:I53"/>
    <mergeCell ref="B54:C54"/>
    <mergeCell ref="D54:M54"/>
    <mergeCell ref="B44:C44"/>
    <mergeCell ref="D44:M44"/>
    <mergeCell ref="B45:M45"/>
    <mergeCell ref="B46:C46"/>
    <mergeCell ref="D46:M46"/>
    <mergeCell ref="B47:C47"/>
    <mergeCell ref="D47:M47"/>
    <mergeCell ref="B37:C37"/>
    <mergeCell ref="D37:M37"/>
    <mergeCell ref="D38:F38"/>
    <mergeCell ref="G38:I38"/>
    <mergeCell ref="D39:F43"/>
    <mergeCell ref="G39:I43"/>
    <mergeCell ref="D29:F33"/>
    <mergeCell ref="G29:I33"/>
    <mergeCell ref="B34:C34"/>
    <mergeCell ref="D34:M34"/>
    <mergeCell ref="B35:M35"/>
    <mergeCell ref="B36:C36"/>
    <mergeCell ref="D36:M36"/>
    <mergeCell ref="B23:C23"/>
    <mergeCell ref="B24:C24"/>
    <mergeCell ref="B25:C25"/>
    <mergeCell ref="B27:M27"/>
    <mergeCell ref="D28:F28"/>
    <mergeCell ref="G28:I28"/>
    <mergeCell ref="N15:N22"/>
    <mergeCell ref="B17:C17"/>
    <mergeCell ref="B18:C18"/>
    <mergeCell ref="B19:C19"/>
    <mergeCell ref="B20:C20"/>
    <mergeCell ref="B21:C21"/>
    <mergeCell ref="B22:C22"/>
    <mergeCell ref="B14:M14"/>
    <mergeCell ref="B15:C16"/>
    <mergeCell ref="D15:E15"/>
    <mergeCell ref="F15:G15"/>
    <mergeCell ref="H15:I15"/>
    <mergeCell ref="J15:K15"/>
    <mergeCell ref="L15:M15"/>
    <mergeCell ref="C10:M10"/>
    <mergeCell ref="C11:M11"/>
    <mergeCell ref="N11:N12"/>
    <mergeCell ref="C12:M12"/>
    <mergeCell ref="D13:F13"/>
    <mergeCell ref="G13:I13"/>
    <mergeCell ref="J13:M13"/>
    <mergeCell ref="B1:E1"/>
    <mergeCell ref="F1:M1"/>
    <mergeCell ref="B3:M3"/>
    <mergeCell ref="B4:M4"/>
    <mergeCell ref="B8:M8"/>
    <mergeCell ref="C9:M9"/>
  </mergeCells>
  <conditionalFormatting sqref="F1:M1">
    <cfRule type="containsText" dxfId="141" priority="43" operator="containsText" text="0">
      <formula>NOT(ISERROR(SEARCH("0",F1)))</formula>
    </cfRule>
  </conditionalFormatting>
  <conditionalFormatting sqref="C9:M10">
    <cfRule type="cellIs" dxfId="140" priority="42" operator="lessThanOrEqual">
      <formula>0</formula>
    </cfRule>
  </conditionalFormatting>
  <conditionalFormatting sqref="D79:M80 D84:M85 D90:M91">
    <cfRule type="containsErrors" dxfId="139" priority="41">
      <formula>ISERROR(D79)</formula>
    </cfRule>
  </conditionalFormatting>
  <conditionalFormatting sqref="D79:M79">
    <cfRule type="cellIs" dxfId="138" priority="39" operator="equal">
      <formula>0</formula>
    </cfRule>
  </conditionalFormatting>
  <conditionalFormatting sqref="E77:M77 D76:D77">
    <cfRule type="cellIs" dxfId="137" priority="37" operator="lessThanOrEqual">
      <formula>0</formula>
    </cfRule>
  </conditionalFormatting>
  <conditionalFormatting sqref="D81:M81">
    <cfRule type="cellIs" dxfId="136" priority="36" operator="lessThanOrEqual">
      <formula>0</formula>
    </cfRule>
  </conditionalFormatting>
  <conditionalFormatting sqref="D86:M86">
    <cfRule type="cellIs" dxfId="135" priority="35" operator="lessThanOrEqual">
      <formula>0</formula>
    </cfRule>
  </conditionalFormatting>
  <conditionalFormatting sqref="D92:M92">
    <cfRule type="cellIs" dxfId="134" priority="34" operator="lessThanOrEqual">
      <formula>0</formula>
    </cfRule>
  </conditionalFormatting>
  <conditionalFormatting sqref="C11:M12 D13 J13">
    <cfRule type="containsErrors" dxfId="133" priority="33">
      <formula>ISERROR(C11)</formula>
    </cfRule>
  </conditionalFormatting>
  <conditionalFormatting sqref="C12:M12 D13 J13">
    <cfRule type="cellIs" dxfId="132" priority="32" stopIfTrue="1" operator="lessThanOrEqual">
      <formula>0</formula>
    </cfRule>
  </conditionalFormatting>
  <conditionalFormatting sqref="B143:C152">
    <cfRule type="containsErrors" dxfId="131" priority="17">
      <formula>ISERROR(B143)</formula>
    </cfRule>
  </conditionalFormatting>
  <conditionalFormatting sqref="B153:C156">
    <cfRule type="containsErrors" dxfId="130" priority="16">
      <formula>ISERROR(B153)</formula>
    </cfRule>
  </conditionalFormatting>
  <conditionalFormatting sqref="B157:C160">
    <cfRule type="containsErrors" dxfId="129" priority="15">
      <formula>ISERROR(B157)</formula>
    </cfRule>
  </conditionalFormatting>
  <conditionalFormatting sqref="B161:C164">
    <cfRule type="containsErrors" dxfId="128" priority="14">
      <formula>ISERROR(B161)</formula>
    </cfRule>
  </conditionalFormatting>
  <conditionalFormatting sqref="B165:C168">
    <cfRule type="containsErrors" dxfId="127" priority="13">
      <formula>ISERROR(B165)</formula>
    </cfRule>
  </conditionalFormatting>
  <conditionalFormatting sqref="D29:D34 E29:F33 D54">
    <cfRule type="containsErrors" dxfId="126" priority="12">
      <formula>ISERROR(D29)</formula>
    </cfRule>
  </conditionalFormatting>
  <conditionalFormatting sqref="N43 N33:N34 N53 N63 N73">
    <cfRule type="containsErrors" dxfId="125" priority="11">
      <formula>ISERROR(N33)</formula>
    </cfRule>
  </conditionalFormatting>
  <conditionalFormatting sqref="D74:M74 D64:M64 D54:M54 D44:M44 D34:M34">
    <cfRule type="cellIs" dxfId="124" priority="10" stopIfTrue="1" operator="lessThanOrEqual">
      <formula>0</formula>
    </cfRule>
  </conditionalFormatting>
  <conditionalFormatting sqref="D29:F33">
    <cfRule type="cellIs" dxfId="123" priority="9" operator="lessThanOrEqual">
      <formula>0</formula>
    </cfRule>
  </conditionalFormatting>
  <conditionalFormatting sqref="D39:F43">
    <cfRule type="containsErrors" dxfId="122" priority="8">
      <formula>ISERROR(D39)</formula>
    </cfRule>
  </conditionalFormatting>
  <conditionalFormatting sqref="D39:F43">
    <cfRule type="cellIs" dxfId="121" priority="7" operator="lessThanOrEqual">
      <formula>0</formula>
    </cfRule>
  </conditionalFormatting>
  <conditionalFormatting sqref="D49:F53">
    <cfRule type="containsErrors" dxfId="120" priority="6">
      <formula>ISERROR(D49)</formula>
    </cfRule>
  </conditionalFormatting>
  <conditionalFormatting sqref="D49:F53">
    <cfRule type="cellIs" dxfId="119" priority="5" operator="lessThanOrEqual">
      <formula>0</formula>
    </cfRule>
  </conditionalFormatting>
  <conditionalFormatting sqref="D59:F63">
    <cfRule type="containsErrors" dxfId="118" priority="4">
      <formula>ISERROR(D59)</formula>
    </cfRule>
  </conditionalFormatting>
  <conditionalFormatting sqref="D59:F63">
    <cfRule type="cellIs" dxfId="117" priority="3" operator="lessThanOrEqual">
      <formula>0</formula>
    </cfRule>
  </conditionalFormatting>
  <conditionalFormatting sqref="D69:F73">
    <cfRule type="containsErrors" dxfId="116" priority="2">
      <formula>ISERROR(D69)</formula>
    </cfRule>
  </conditionalFormatting>
  <conditionalFormatting sqref="D69:F73">
    <cfRule type="cellIs" dxfId="115" priority="1" operator="lessThanOrEqual">
      <formula>0</formula>
    </cfRule>
  </conditionalFormatting>
  <dataValidations count="2">
    <dataValidation type="list" allowBlank="1" showInputMessage="1" showErrorMessage="1" sqref="C13" xr:uid="{00000000-0002-0000-1500-000000000000}">
      <formula1>Cistern</formula1>
    </dataValidation>
    <dataValidation type="list" allowBlank="1" showInputMessage="1" showErrorMessage="1" sqref="C29:C33 C69:C73 C59:C63 C49:C53 C39:C43" xr:uid="{00000000-0002-0000-1500-000001000000}">
      <formula1>$B$122:$B$134</formula1>
    </dataValidation>
  </dataValidations>
  <hyperlinks>
    <hyperlink ref="A210:J211" location="'SITE SUMMARY'!A1" display="CONTINUE TO SITE SUMMARY" xr:uid="{00000000-0004-0000-1500-000000000000}"/>
    <hyperlink ref="A213:J214" location="'SITE SUMMARY'!A1" display="CONTINUE TO SITE SUMMARY" xr:uid="{00000000-0004-0000-1500-000001000000}"/>
    <hyperlink ref="A210:L211" location="'BMP SUMMARY'!A1" display="CONTINUE TO BMP SUMMARY" xr:uid="{00000000-0004-0000-1500-000002000000}"/>
    <hyperlink ref="A207:J208" location="'DA2'!A1" display="CLICK TO ADD ANOTHER DRAINAGE AREA" xr:uid="{00000000-0004-0000-1500-000003000000}"/>
    <hyperlink ref="A207:L208" location="DA2_BMPs!A1" display="CLICK TO ADD BMPS TO ANOTHER DRAINAGE AREA" xr:uid="{00000000-0004-0000-1500-000004000000}"/>
  </hyperlinks>
  <printOptions horizontalCentered="1"/>
  <pageMargins left="0.7" right="0.7" top="0.75" bottom="0.75" header="0.3" footer="0.3"/>
  <pageSetup scale="42" fitToHeight="2" orientation="portrait" r:id="rId1"/>
  <headerFooter>
    <oddFooter>&amp;A&amp;RPage &amp;P</oddFooter>
  </headerFooter>
  <rowBreaks count="1" manualBreakCount="1">
    <brk id="54" min="1" max="12" man="1"/>
  </rowBreaks>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030A0"/>
  </sheetPr>
  <dimension ref="A1:AA487"/>
  <sheetViews>
    <sheetView showRowColHeaders="0" zoomScale="70" zoomScaleNormal="70" zoomScalePageLayoutView="55" workbookViewId="0">
      <selection activeCell="N15" sqref="N15:N22"/>
    </sheetView>
  </sheetViews>
  <sheetFormatPr defaultRowHeight="15" x14ac:dyDescent="0.2"/>
  <cols>
    <col min="1" max="1" width="3.77734375" style="507" customWidth="1"/>
    <col min="2" max="2" width="39" style="161" customWidth="1"/>
    <col min="3" max="3" width="42.5546875" style="161" bestFit="1" customWidth="1"/>
    <col min="4" max="10" width="9.77734375" style="161" customWidth="1"/>
    <col min="11" max="11" width="9.77734375" style="398" customWidth="1"/>
    <col min="12" max="13" width="9.77734375" style="161" customWidth="1"/>
    <col min="14" max="14" width="77" style="161" customWidth="1"/>
    <col min="15" max="25" width="8.88671875" style="507"/>
    <col min="26" max="16384" width="8.88671875" style="161"/>
  </cols>
  <sheetData>
    <row r="1" spans="1:25" ht="16.5" customHeight="1" thickBot="1" x14ac:dyDescent="0.3">
      <c r="B1" s="787" t="s">
        <v>31</v>
      </c>
      <c r="C1" s="787"/>
      <c r="D1" s="787"/>
      <c r="E1" s="931"/>
      <c r="F1" s="1107">
        <f>'SITE DATA'!F9</f>
        <v>0</v>
      </c>
      <c r="G1" s="1108"/>
      <c r="H1" s="1108"/>
      <c r="I1" s="1108"/>
      <c r="J1" s="1108"/>
      <c r="K1" s="1108"/>
      <c r="L1" s="1108"/>
      <c r="M1" s="1109"/>
      <c r="N1" s="507"/>
    </row>
    <row r="2" spans="1:25" ht="16.5" customHeight="1" x14ac:dyDescent="0.2">
      <c r="B2" s="575"/>
      <c r="C2" s="575"/>
      <c r="D2" s="575"/>
      <c r="E2" s="575"/>
      <c r="F2" s="575"/>
      <c r="G2" s="575"/>
      <c r="H2" s="575"/>
      <c r="I2" s="575"/>
      <c r="J2" s="575"/>
      <c r="K2" s="237"/>
      <c r="L2" s="575"/>
      <c r="M2" s="575"/>
      <c r="N2" s="507"/>
    </row>
    <row r="3" spans="1:25" ht="16.5" customHeight="1" x14ac:dyDescent="0.25">
      <c r="B3" s="797" t="s">
        <v>394</v>
      </c>
      <c r="C3" s="797"/>
      <c r="D3" s="797"/>
      <c r="E3" s="797"/>
      <c r="F3" s="797"/>
      <c r="G3" s="797"/>
      <c r="H3" s="797"/>
      <c r="I3" s="797"/>
      <c r="J3" s="797"/>
      <c r="K3" s="797"/>
      <c r="L3" s="797"/>
      <c r="M3" s="797"/>
      <c r="N3" s="507"/>
    </row>
    <row r="4" spans="1:25" ht="16.5" customHeight="1" x14ac:dyDescent="0.25">
      <c r="B4" s="797" t="s">
        <v>359</v>
      </c>
      <c r="C4" s="797"/>
      <c r="D4" s="797"/>
      <c r="E4" s="797"/>
      <c r="F4" s="797"/>
      <c r="G4" s="797"/>
      <c r="H4" s="797"/>
      <c r="I4" s="797"/>
      <c r="J4" s="797"/>
      <c r="K4" s="797"/>
      <c r="L4" s="797"/>
      <c r="M4" s="797"/>
      <c r="N4" s="507"/>
    </row>
    <row r="5" spans="1:25" ht="16.5" customHeight="1" x14ac:dyDescent="0.2">
      <c r="B5" s="507"/>
      <c r="C5" s="507"/>
      <c r="D5" s="507"/>
      <c r="E5" s="507"/>
      <c r="F5" s="507"/>
      <c r="G5" s="507"/>
      <c r="H5" s="507"/>
      <c r="I5" s="507"/>
      <c r="J5" s="507"/>
      <c r="K5" s="573"/>
      <c r="L5" s="507"/>
      <c r="M5" s="507"/>
      <c r="N5" s="507"/>
    </row>
    <row r="6" spans="1:25" ht="16.5" customHeight="1" x14ac:dyDescent="0.2">
      <c r="B6" s="507"/>
      <c r="C6" s="507"/>
      <c r="D6" s="366"/>
      <c r="E6" s="366"/>
      <c r="F6" s="366"/>
      <c r="G6" s="305"/>
      <c r="H6" s="305"/>
      <c r="I6" s="366"/>
      <c r="J6" s="366"/>
      <c r="K6" s="367"/>
      <c r="L6" s="507"/>
      <c r="M6" s="507"/>
    </row>
    <row r="7" spans="1:25" ht="16.5" customHeight="1" thickBot="1" x14ac:dyDescent="0.25">
      <c r="B7" s="507"/>
      <c r="C7" s="507"/>
      <c r="D7" s="305"/>
      <c r="E7" s="305"/>
      <c r="F7" s="305"/>
      <c r="G7" s="305"/>
      <c r="H7" s="305"/>
      <c r="I7" s="305"/>
      <c r="J7" s="305"/>
      <c r="K7" s="160"/>
      <c r="L7" s="507"/>
      <c r="M7" s="507"/>
      <c r="N7" s="507"/>
    </row>
    <row r="8" spans="1:25" s="306" customFormat="1" ht="24.95" customHeight="1" thickTop="1" thickBot="1" x14ac:dyDescent="0.25">
      <c r="A8" s="164"/>
      <c r="B8" s="1081" t="s">
        <v>274</v>
      </c>
      <c r="C8" s="1082"/>
      <c r="D8" s="1082"/>
      <c r="E8" s="1082"/>
      <c r="F8" s="1082"/>
      <c r="G8" s="1082"/>
      <c r="H8" s="1082"/>
      <c r="I8" s="1082"/>
      <c r="J8" s="1082"/>
      <c r="K8" s="1082"/>
      <c r="L8" s="1082"/>
      <c r="M8" s="1083"/>
      <c r="N8" s="238" t="s">
        <v>319</v>
      </c>
      <c r="O8" s="164"/>
      <c r="P8" s="164"/>
      <c r="Q8" s="164"/>
      <c r="R8" s="164"/>
      <c r="S8" s="164"/>
      <c r="T8" s="164"/>
      <c r="U8" s="164"/>
      <c r="V8" s="164"/>
      <c r="W8" s="164"/>
      <c r="X8" s="164"/>
      <c r="Y8" s="164"/>
    </row>
    <row r="9" spans="1:25" s="306" customFormat="1" ht="24.95" customHeight="1" thickTop="1" x14ac:dyDescent="0.2">
      <c r="A9" s="164"/>
      <c r="B9" s="241" t="s">
        <v>696</v>
      </c>
      <c r="C9" s="1087">
        <f>'DA9'!H10</f>
        <v>0</v>
      </c>
      <c r="D9" s="1087"/>
      <c r="E9" s="1087"/>
      <c r="F9" s="1087"/>
      <c r="G9" s="1087"/>
      <c r="H9" s="1087"/>
      <c r="I9" s="1087"/>
      <c r="J9" s="1087"/>
      <c r="K9" s="1087"/>
      <c r="L9" s="1087"/>
      <c r="M9" s="1088"/>
      <c r="N9" s="307"/>
      <c r="O9" s="164"/>
      <c r="P9" s="164"/>
      <c r="Q9" s="164"/>
      <c r="R9" s="164"/>
      <c r="S9" s="164"/>
      <c r="T9" s="164"/>
      <c r="U9" s="164"/>
      <c r="V9" s="164"/>
      <c r="W9" s="164"/>
      <c r="X9" s="164"/>
      <c r="Y9" s="164"/>
    </row>
    <row r="10" spans="1:25" s="306" customFormat="1" ht="24.95" customHeight="1" x14ac:dyDescent="0.2">
      <c r="A10" s="164"/>
      <c r="B10" s="241" t="s">
        <v>697</v>
      </c>
      <c r="C10" s="1087">
        <f>'DA9'!H9-'DA9'!H10</f>
        <v>0</v>
      </c>
      <c r="D10" s="1087"/>
      <c r="E10" s="1087"/>
      <c r="F10" s="1087"/>
      <c r="G10" s="1087"/>
      <c r="H10" s="1087"/>
      <c r="I10" s="1087"/>
      <c r="J10" s="1087"/>
      <c r="K10" s="1087"/>
      <c r="L10" s="1087"/>
      <c r="M10" s="1088"/>
      <c r="N10" s="308"/>
      <c r="O10" s="164"/>
      <c r="P10" s="164"/>
      <c r="Q10" s="164"/>
      <c r="R10" s="164"/>
      <c r="S10" s="164"/>
      <c r="T10" s="164"/>
      <c r="U10" s="164"/>
      <c r="V10" s="164"/>
      <c r="W10" s="164"/>
      <c r="X10" s="164"/>
      <c r="Y10" s="164"/>
    </row>
    <row r="11" spans="1:25" s="306" customFormat="1" ht="33" x14ac:dyDescent="0.2">
      <c r="A11" s="164"/>
      <c r="B11" s="286" t="s">
        <v>576</v>
      </c>
      <c r="C11" s="1032" t="e">
        <f>'SITE SUMMARY'!G40</f>
        <v>#VALUE!</v>
      </c>
      <c r="D11" s="1032"/>
      <c r="E11" s="1032"/>
      <c r="F11" s="1032"/>
      <c r="G11" s="1032"/>
      <c r="H11" s="1032"/>
      <c r="I11" s="1032"/>
      <c r="J11" s="1032"/>
      <c r="K11" s="1032"/>
      <c r="L11" s="1032"/>
      <c r="M11" s="1033"/>
      <c r="N11" s="1035" t="s">
        <v>578</v>
      </c>
      <c r="O11" s="164"/>
      <c r="P11" s="164"/>
      <c r="Q11" s="164"/>
      <c r="R11" s="164"/>
      <c r="S11" s="164"/>
      <c r="T11" s="164"/>
      <c r="U11" s="164"/>
      <c r="V11" s="164"/>
      <c r="W11" s="164"/>
      <c r="X11" s="164"/>
      <c r="Y11" s="164"/>
    </row>
    <row r="12" spans="1:25" s="306" customFormat="1" ht="34.5" customHeight="1" x14ac:dyDescent="0.2">
      <c r="A12" s="164"/>
      <c r="B12" s="286" t="s">
        <v>698</v>
      </c>
      <c r="C12" s="1032" t="e">
        <f>IF('SITE SUMMARY'!G35="High",('DA9'!$D$80),0)</f>
        <v>#DIV/0!</v>
      </c>
      <c r="D12" s="1032" t="str">
        <f>IF($G$36="High",('DA1'!$D$80),"NA")</f>
        <v>NA</v>
      </c>
      <c r="E12" s="1032" t="str">
        <f>IF($G$36="High",('DA1'!$D$80),"NA")</f>
        <v>NA</v>
      </c>
      <c r="F12" s="1032" t="str">
        <f>IF($G$36="High",('DA1'!$D$80),"NA")</f>
        <v>NA</v>
      </c>
      <c r="G12" s="1032" t="str">
        <f>IF($G$36="High",('DA1'!$D$80),"NA")</f>
        <v>NA</v>
      </c>
      <c r="H12" s="1032" t="str">
        <f>IF($G$36="High",('DA1'!$D$80),"NA")</f>
        <v>NA</v>
      </c>
      <c r="I12" s="1032" t="str">
        <f>IF($G$36="High",('DA1'!$D$80),"NA")</f>
        <v>NA</v>
      </c>
      <c r="J12" s="1032" t="str">
        <f>IF($G$36="High",('DA1'!$D$80),"NA")</f>
        <v>NA</v>
      </c>
      <c r="K12" s="1032" t="str">
        <f>IF($G$36="High",('DA1'!$D$80),"NA")</f>
        <v>NA</v>
      </c>
      <c r="L12" s="1032" t="str">
        <f>IF($G$36="High",('DA1'!$D$80),"NA")</f>
        <v>NA</v>
      </c>
      <c r="M12" s="1033" t="str">
        <f>IF($G$36="High",('DA1'!$D$80),"NA")</f>
        <v>NA</v>
      </c>
      <c r="N12" s="1035"/>
      <c r="O12" s="164"/>
      <c r="P12" s="164"/>
      <c r="Q12" s="164"/>
      <c r="R12" s="164"/>
      <c r="S12" s="164"/>
      <c r="T12" s="164"/>
      <c r="U12" s="164"/>
      <c r="V12" s="164"/>
      <c r="W12" s="164"/>
      <c r="X12" s="164"/>
      <c r="Y12" s="164"/>
    </row>
    <row r="13" spans="1:25" s="306" customFormat="1" ht="60" x14ac:dyDescent="0.2">
      <c r="A13" s="164"/>
      <c r="B13" s="286" t="s">
        <v>583</v>
      </c>
      <c r="C13" s="364"/>
      <c r="D13" s="1038" t="s">
        <v>565</v>
      </c>
      <c r="E13" s="1039"/>
      <c r="F13" s="1039"/>
      <c r="G13" s="1026"/>
      <c r="H13" s="1027"/>
      <c r="I13" s="1028"/>
      <c r="J13" s="1029" t="s">
        <v>574</v>
      </c>
      <c r="K13" s="1030"/>
      <c r="L13" s="1030"/>
      <c r="M13" s="1031"/>
      <c r="N13" s="608" t="s">
        <v>699</v>
      </c>
      <c r="O13" s="164"/>
      <c r="P13" s="164"/>
      <c r="Q13" s="164"/>
      <c r="R13" s="164"/>
      <c r="S13" s="164"/>
      <c r="T13" s="164"/>
      <c r="U13" s="164"/>
      <c r="V13" s="164"/>
      <c r="W13" s="164"/>
      <c r="X13" s="164"/>
      <c r="Y13" s="164"/>
    </row>
    <row r="14" spans="1:25" s="306" customFormat="1" ht="24.95" customHeight="1" x14ac:dyDescent="0.2">
      <c r="A14" s="164"/>
      <c r="B14" s="1084" t="s">
        <v>320</v>
      </c>
      <c r="C14" s="1085"/>
      <c r="D14" s="1085"/>
      <c r="E14" s="1085"/>
      <c r="F14" s="1085"/>
      <c r="G14" s="1085"/>
      <c r="H14" s="1085"/>
      <c r="I14" s="1085"/>
      <c r="J14" s="1085"/>
      <c r="K14" s="1085"/>
      <c r="L14" s="1085"/>
      <c r="M14" s="1086"/>
      <c r="N14" s="368"/>
      <c r="O14" s="369"/>
      <c r="P14" s="369"/>
      <c r="Q14" s="369"/>
      <c r="R14" s="369"/>
      <c r="S14" s="369"/>
      <c r="T14" s="369"/>
      <c r="U14" s="164"/>
      <c r="V14" s="164"/>
      <c r="W14" s="164"/>
      <c r="X14" s="164"/>
      <c r="Y14" s="164"/>
    </row>
    <row r="15" spans="1:25" s="327" customFormat="1" ht="35.1" customHeight="1" x14ac:dyDescent="0.2">
      <c r="A15" s="326"/>
      <c r="B15" s="1089" t="s">
        <v>273</v>
      </c>
      <c r="C15" s="1090"/>
      <c r="D15" s="1093" t="s">
        <v>700</v>
      </c>
      <c r="E15" s="1093"/>
      <c r="F15" s="1093" t="s">
        <v>701</v>
      </c>
      <c r="G15" s="1093"/>
      <c r="H15" s="1093" t="s">
        <v>702</v>
      </c>
      <c r="I15" s="1093"/>
      <c r="J15" s="1093" t="s">
        <v>703</v>
      </c>
      <c r="K15" s="1093"/>
      <c r="L15" s="1093" t="s">
        <v>704</v>
      </c>
      <c r="M15" s="1115"/>
      <c r="N15" s="1119" t="s">
        <v>741</v>
      </c>
      <c r="O15" s="326"/>
      <c r="P15" s="326"/>
      <c r="Q15" s="326"/>
      <c r="R15" s="326"/>
      <c r="S15" s="326"/>
      <c r="T15" s="326"/>
      <c r="U15" s="326"/>
      <c r="V15" s="326"/>
      <c r="W15" s="326"/>
      <c r="X15" s="326"/>
      <c r="Y15" s="326"/>
    </row>
    <row r="16" spans="1:25" s="327" customFormat="1" x14ac:dyDescent="0.2">
      <c r="A16" s="326"/>
      <c r="B16" s="1089"/>
      <c r="C16" s="1090"/>
      <c r="D16" s="131" t="s">
        <v>281</v>
      </c>
      <c r="E16" s="131" t="s">
        <v>282</v>
      </c>
      <c r="F16" s="131" t="s">
        <v>281</v>
      </c>
      <c r="G16" s="131" t="s">
        <v>282</v>
      </c>
      <c r="H16" s="131" t="s">
        <v>281</v>
      </c>
      <c r="I16" s="131" t="s">
        <v>282</v>
      </c>
      <c r="J16" s="131" t="s">
        <v>281</v>
      </c>
      <c r="K16" s="131" t="s">
        <v>282</v>
      </c>
      <c r="L16" s="131" t="s">
        <v>281</v>
      </c>
      <c r="M16" s="240" t="s">
        <v>282</v>
      </c>
      <c r="N16" s="1119"/>
      <c r="O16" s="326"/>
      <c r="P16" s="326"/>
      <c r="Q16" s="326"/>
      <c r="R16" s="326"/>
      <c r="S16" s="326"/>
      <c r="T16" s="326"/>
      <c r="U16" s="326"/>
      <c r="V16" s="326"/>
      <c r="W16" s="326"/>
      <c r="X16" s="326"/>
      <c r="Y16" s="326"/>
    </row>
    <row r="17" spans="1:25" s="327" customFormat="1" ht="24.95" customHeight="1" x14ac:dyDescent="0.2">
      <c r="A17" s="326"/>
      <c r="B17" s="1091" t="s">
        <v>12</v>
      </c>
      <c r="C17" s="1092"/>
      <c r="D17" s="364"/>
      <c r="E17" s="364"/>
      <c r="F17" s="364"/>
      <c r="G17" s="364"/>
      <c r="H17" s="364"/>
      <c r="I17" s="364"/>
      <c r="J17" s="364"/>
      <c r="K17" s="364"/>
      <c r="L17" s="364"/>
      <c r="M17" s="365"/>
      <c r="N17" s="1119"/>
      <c r="O17" s="326"/>
      <c r="P17" s="326"/>
      <c r="Q17" s="326"/>
      <c r="R17" s="326"/>
      <c r="S17" s="326"/>
      <c r="T17" s="326"/>
      <c r="U17" s="326"/>
      <c r="V17" s="326"/>
      <c r="W17" s="326"/>
      <c r="X17" s="326"/>
      <c r="Y17" s="326"/>
    </row>
    <row r="18" spans="1:25" s="327" customFormat="1" ht="24.95" customHeight="1" x14ac:dyDescent="0.2">
      <c r="A18" s="326"/>
      <c r="B18" s="1091" t="s">
        <v>253</v>
      </c>
      <c r="C18" s="1092"/>
      <c r="D18" s="364"/>
      <c r="E18" s="364"/>
      <c r="F18" s="364"/>
      <c r="G18" s="364"/>
      <c r="H18" s="364"/>
      <c r="I18" s="364"/>
      <c r="J18" s="364"/>
      <c r="K18" s="364"/>
      <c r="L18" s="364"/>
      <c r="M18" s="365"/>
      <c r="N18" s="1119"/>
      <c r="O18" s="326"/>
      <c r="P18" s="326"/>
      <c r="Q18" s="326"/>
      <c r="R18" s="326"/>
      <c r="S18" s="326"/>
      <c r="T18" s="326"/>
      <c r="U18" s="326"/>
      <c r="V18" s="326"/>
      <c r="W18" s="326"/>
      <c r="X18" s="326"/>
      <c r="Y18" s="326"/>
    </row>
    <row r="19" spans="1:25" s="327" customFormat="1" ht="24.95" customHeight="1" x14ac:dyDescent="0.2">
      <c r="A19" s="326"/>
      <c r="B19" s="1091" t="s">
        <v>260</v>
      </c>
      <c r="C19" s="1092"/>
      <c r="D19" s="364"/>
      <c r="E19" s="364"/>
      <c r="F19" s="364"/>
      <c r="G19" s="364"/>
      <c r="H19" s="364"/>
      <c r="I19" s="364"/>
      <c r="J19" s="364"/>
      <c r="K19" s="364"/>
      <c r="L19" s="364"/>
      <c r="M19" s="365"/>
      <c r="N19" s="1119"/>
      <c r="O19" s="326"/>
      <c r="P19" s="326"/>
      <c r="Q19" s="326"/>
      <c r="R19" s="326"/>
      <c r="S19" s="326"/>
      <c r="T19" s="326"/>
      <c r="U19" s="326"/>
      <c r="V19" s="326"/>
      <c r="W19" s="326"/>
      <c r="X19" s="326"/>
      <c r="Y19" s="326"/>
    </row>
    <row r="20" spans="1:25" s="327" customFormat="1" ht="24.95" customHeight="1" x14ac:dyDescent="0.2">
      <c r="A20" s="326"/>
      <c r="B20" s="1091" t="s">
        <v>254</v>
      </c>
      <c r="C20" s="1092"/>
      <c r="D20" s="364"/>
      <c r="E20" s="364"/>
      <c r="F20" s="364"/>
      <c r="G20" s="364"/>
      <c r="H20" s="364"/>
      <c r="I20" s="364"/>
      <c r="J20" s="364"/>
      <c r="K20" s="364"/>
      <c r="L20" s="364"/>
      <c r="M20" s="365"/>
      <c r="N20" s="1119"/>
      <c r="O20" s="326"/>
      <c r="P20" s="326"/>
      <c r="Q20" s="326"/>
      <c r="R20" s="326"/>
      <c r="S20" s="326"/>
      <c r="T20" s="326"/>
      <c r="U20" s="326"/>
      <c r="V20" s="326"/>
      <c r="W20" s="326"/>
      <c r="X20" s="326"/>
      <c r="Y20" s="326"/>
    </row>
    <row r="21" spans="1:25" s="327" customFormat="1" ht="24.95" customHeight="1" x14ac:dyDescent="0.2">
      <c r="A21" s="326"/>
      <c r="B21" s="1091" t="s">
        <v>255</v>
      </c>
      <c r="C21" s="1092"/>
      <c r="D21" s="364"/>
      <c r="E21" s="364"/>
      <c r="F21" s="364"/>
      <c r="G21" s="364"/>
      <c r="H21" s="364"/>
      <c r="I21" s="364"/>
      <c r="J21" s="364"/>
      <c r="K21" s="364"/>
      <c r="L21" s="364"/>
      <c r="M21" s="365"/>
      <c r="N21" s="1119"/>
      <c r="O21" s="326"/>
      <c r="P21" s="326"/>
      <c r="Q21" s="326"/>
      <c r="R21" s="326"/>
      <c r="S21" s="326"/>
      <c r="T21" s="326"/>
      <c r="U21" s="326"/>
      <c r="V21" s="326"/>
      <c r="W21" s="326"/>
      <c r="X21" s="326"/>
      <c r="Y21" s="326"/>
    </row>
    <row r="22" spans="1:25" ht="24.95" customHeight="1" x14ac:dyDescent="0.2">
      <c r="B22" s="1091" t="s">
        <v>256</v>
      </c>
      <c r="C22" s="1092"/>
      <c r="D22" s="364"/>
      <c r="E22" s="364"/>
      <c r="F22" s="364"/>
      <c r="G22" s="364"/>
      <c r="H22" s="364"/>
      <c r="I22" s="364"/>
      <c r="J22" s="364"/>
      <c r="K22" s="364"/>
      <c r="L22" s="364"/>
      <c r="M22" s="365"/>
      <c r="N22" s="1119"/>
    </row>
    <row r="23" spans="1:25" ht="24.95" customHeight="1" x14ac:dyDescent="0.2">
      <c r="B23" s="1091" t="s">
        <v>257</v>
      </c>
      <c r="C23" s="1092"/>
      <c r="D23" s="364"/>
      <c r="E23" s="364"/>
      <c r="F23" s="364"/>
      <c r="G23" s="364"/>
      <c r="H23" s="364"/>
      <c r="I23" s="364"/>
      <c r="J23" s="364"/>
      <c r="K23" s="364"/>
      <c r="L23" s="364"/>
      <c r="M23" s="365"/>
      <c r="N23" s="370"/>
    </row>
    <row r="24" spans="1:25" ht="24.95" customHeight="1" x14ac:dyDescent="0.2">
      <c r="B24" s="1091" t="s">
        <v>245</v>
      </c>
      <c r="C24" s="1092"/>
      <c r="D24" s="364"/>
      <c r="E24" s="364"/>
      <c r="F24" s="364"/>
      <c r="G24" s="364"/>
      <c r="H24" s="364"/>
      <c r="I24" s="364"/>
      <c r="J24" s="364"/>
      <c r="K24" s="364"/>
      <c r="L24" s="364"/>
      <c r="M24" s="365"/>
      <c r="N24" s="370"/>
    </row>
    <row r="25" spans="1:25" ht="24.95" customHeight="1" x14ac:dyDescent="0.2">
      <c r="B25" s="1091" t="s">
        <v>44</v>
      </c>
      <c r="C25" s="1092"/>
      <c r="D25" s="364"/>
      <c r="E25" s="364"/>
      <c r="F25" s="364"/>
      <c r="G25" s="364"/>
      <c r="H25" s="364"/>
      <c r="I25" s="364"/>
      <c r="J25" s="364"/>
      <c r="K25" s="364"/>
      <c r="L25" s="364"/>
      <c r="M25" s="365"/>
      <c r="N25" s="446" t="str">
        <f>IF(SUM( D17:D25,F17:F25,H17:H25,J17:J25,L17:L25)=C9,"","DOES NOT MATCH SITE ACREAGES")</f>
        <v/>
      </c>
    </row>
    <row r="26" spans="1:25" s="373" customFormat="1" ht="15.75" hidden="1" x14ac:dyDescent="0.25">
      <c r="A26" s="574"/>
      <c r="B26" s="371" t="s">
        <v>291</v>
      </c>
      <c r="C26" s="372"/>
      <c r="D26" s="315">
        <f>SUM(D17:D25)</f>
        <v>0</v>
      </c>
      <c r="E26" s="315">
        <f t="shared" ref="E26:M26" si="0">SUM(E17:E25)</f>
        <v>0</v>
      </c>
      <c r="F26" s="315">
        <f t="shared" si="0"/>
        <v>0</v>
      </c>
      <c r="G26" s="315">
        <f t="shared" si="0"/>
        <v>0</v>
      </c>
      <c r="H26" s="315">
        <f t="shared" si="0"/>
        <v>0</v>
      </c>
      <c r="I26" s="315">
        <f t="shared" si="0"/>
        <v>0</v>
      </c>
      <c r="J26" s="315">
        <f t="shared" si="0"/>
        <v>0</v>
      </c>
      <c r="K26" s="315">
        <f t="shared" si="0"/>
        <v>0</v>
      </c>
      <c r="L26" s="315">
        <f t="shared" si="0"/>
        <v>0</v>
      </c>
      <c r="M26" s="316">
        <f t="shared" si="0"/>
        <v>0</v>
      </c>
      <c r="N26" s="330"/>
      <c r="O26" s="574"/>
      <c r="P26" s="574"/>
      <c r="Q26" s="574"/>
      <c r="R26" s="574"/>
      <c r="S26" s="574"/>
      <c r="T26" s="574"/>
      <c r="U26" s="574"/>
      <c r="V26" s="574"/>
      <c r="W26" s="574"/>
      <c r="X26" s="574"/>
      <c r="Y26" s="574"/>
    </row>
    <row r="27" spans="1:25" s="306" customFormat="1" ht="15.75" x14ac:dyDescent="0.2">
      <c r="A27" s="164"/>
      <c r="B27" s="953" t="s">
        <v>286</v>
      </c>
      <c r="C27" s="954"/>
      <c r="D27" s="954"/>
      <c r="E27" s="954"/>
      <c r="F27" s="954"/>
      <c r="G27" s="954"/>
      <c r="H27" s="954"/>
      <c r="I27" s="954"/>
      <c r="J27" s="954"/>
      <c r="K27" s="954"/>
      <c r="L27" s="954"/>
      <c r="M27" s="955"/>
      <c r="N27" s="324"/>
      <c r="O27" s="164"/>
      <c r="P27" s="164"/>
      <c r="Q27" s="164"/>
      <c r="R27" s="164"/>
      <c r="S27" s="164"/>
      <c r="T27" s="164"/>
      <c r="U27" s="164"/>
      <c r="V27" s="164"/>
      <c r="W27" s="164"/>
      <c r="X27" s="164"/>
      <c r="Y27" s="164"/>
    </row>
    <row r="28" spans="1:25" s="507" customFormat="1" ht="79.5" customHeight="1" x14ac:dyDescent="0.2">
      <c r="B28" s="374" t="s">
        <v>318</v>
      </c>
      <c r="C28" s="375" t="s">
        <v>284</v>
      </c>
      <c r="D28" s="1034" t="s">
        <v>568</v>
      </c>
      <c r="E28" s="1034"/>
      <c r="F28" s="1034"/>
      <c r="G28" s="1040" t="s">
        <v>567</v>
      </c>
      <c r="H28" s="1041"/>
      <c r="I28" s="1042"/>
      <c r="J28" s="631" t="s">
        <v>269</v>
      </c>
      <c r="K28" s="631" t="s">
        <v>491</v>
      </c>
      <c r="L28" s="631" t="s">
        <v>492</v>
      </c>
      <c r="M28" s="376" t="s">
        <v>322</v>
      </c>
      <c r="N28" s="377" t="s">
        <v>321</v>
      </c>
    </row>
    <row r="29" spans="1:25" ht="24.95" customHeight="1" x14ac:dyDescent="0.2">
      <c r="B29" s="562"/>
      <c r="C29" s="400"/>
      <c r="D29" s="1043" t="e">
        <f>IF('SITE SUMMARY'!$G$35="High",E151,"-")</f>
        <v>#DIV/0!</v>
      </c>
      <c r="E29" s="1044"/>
      <c r="F29" s="1045"/>
      <c r="G29" s="1120"/>
      <c r="H29" s="1121"/>
      <c r="I29" s="1122"/>
      <c r="J29" s="378">
        <f>IF(ISERROR(VLOOKUP(C29,BMP,2,FALSE)),0,VLOOKUP(C29,BMP,2,FALSE))</f>
        <v>0</v>
      </c>
      <c r="K29" s="625">
        <f>IF(ISERROR($E$114),0,$E$114)</f>
        <v>0</v>
      </c>
      <c r="L29" s="625">
        <f>IF(ISERROR(K29*J29),0,K29*J29)</f>
        <v>0</v>
      </c>
      <c r="M29" s="401"/>
      <c r="N29" s="377"/>
      <c r="O29" s="379"/>
      <c r="P29" s="379"/>
      <c r="Q29" s="379"/>
      <c r="R29" s="379"/>
      <c r="S29" s="379"/>
      <c r="T29" s="379"/>
    </row>
    <row r="30" spans="1:25" ht="24.95" customHeight="1" x14ac:dyDescent="0.2">
      <c r="B30" s="563"/>
      <c r="C30" s="400"/>
      <c r="D30" s="1046"/>
      <c r="E30" s="1047"/>
      <c r="F30" s="1048"/>
      <c r="G30" s="1123"/>
      <c r="H30" s="1124"/>
      <c r="I30" s="1125"/>
      <c r="J30" s="378">
        <f>IF(ISERROR(VLOOKUP(C30,BMP,2,FALSE)),0,VLOOKUP(C30,BMP,2,FALSE))</f>
        <v>0</v>
      </c>
      <c r="K30" s="625">
        <f>IF(ISERROR(K29-L29),0,K29-L29)</f>
        <v>0</v>
      </c>
      <c r="L30" s="625">
        <f>IF(ISERROR(K30*J30),0,K30*J30)</f>
        <v>0</v>
      </c>
      <c r="M30" s="401"/>
      <c r="N30" s="380"/>
    </row>
    <row r="31" spans="1:25" ht="24.95" customHeight="1" x14ac:dyDescent="0.2">
      <c r="B31" s="563"/>
      <c r="C31" s="400"/>
      <c r="D31" s="1046"/>
      <c r="E31" s="1047"/>
      <c r="F31" s="1048"/>
      <c r="G31" s="1123"/>
      <c r="H31" s="1124"/>
      <c r="I31" s="1125"/>
      <c r="J31" s="378">
        <f>IF(ISERROR(VLOOKUP(C31,BMP,2,FALSE)),0,VLOOKUP(C31,BMP,2,FALSE))</f>
        <v>0</v>
      </c>
      <c r="K31" s="625">
        <f>IF(ISERROR(K30-L30),0,K30-L30)</f>
        <v>0</v>
      </c>
      <c r="L31" s="625">
        <f>IF(ISERROR(K31*J31),0,K31*J31)</f>
        <v>0</v>
      </c>
      <c r="M31" s="401"/>
      <c r="N31" s="380"/>
    </row>
    <row r="32" spans="1:25" ht="24.95" customHeight="1" x14ac:dyDescent="0.2">
      <c r="B32" s="563"/>
      <c r="C32" s="400"/>
      <c r="D32" s="1046"/>
      <c r="E32" s="1047"/>
      <c r="F32" s="1048"/>
      <c r="G32" s="1123"/>
      <c r="H32" s="1124"/>
      <c r="I32" s="1125"/>
      <c r="J32" s="378">
        <f>IF(ISERROR(VLOOKUP(C32,BMP,2,FALSE)),0,VLOOKUP(C32,BMP,2,FALSE))</f>
        <v>0</v>
      </c>
      <c r="K32" s="625">
        <f>IF(ISERROR(K31-L31),0,K31-L31)</f>
        <v>0</v>
      </c>
      <c r="L32" s="625">
        <f>IF(ISERROR(K32*J32),0,K32*J32)</f>
        <v>0</v>
      </c>
      <c r="M32" s="401"/>
      <c r="N32" s="380"/>
    </row>
    <row r="33" spans="1:25" ht="24.95" customHeight="1" x14ac:dyDescent="0.2">
      <c r="B33" s="563"/>
      <c r="C33" s="400"/>
      <c r="D33" s="1049"/>
      <c r="E33" s="1050"/>
      <c r="F33" s="1051"/>
      <c r="G33" s="1126"/>
      <c r="H33" s="1127"/>
      <c r="I33" s="1128"/>
      <c r="J33" s="378">
        <f>IF(ISERROR(VLOOKUP(C33,BMP,2,FALSE)),0,VLOOKUP(C33,BMP,2,FALSE))</f>
        <v>0</v>
      </c>
      <c r="K33" s="625">
        <f>IF(ISERROR(K32-L32),0,K32-L32)</f>
        <v>0</v>
      </c>
      <c r="L33" s="625">
        <f>IF(ISERROR(K33*J33),0,K33*J33)</f>
        <v>0</v>
      </c>
      <c r="M33" s="401"/>
      <c r="N33" s="381"/>
    </row>
    <row r="34" spans="1:25" ht="24.95" customHeight="1" x14ac:dyDescent="0.2">
      <c r="B34" s="1052" t="s">
        <v>371</v>
      </c>
      <c r="C34" s="1053"/>
      <c r="D34" s="1054">
        <f>IF(J33&gt;0,K306-L33,IF(J32&gt;0,K32-L32,IF(J31&gt;0,K31-L31,IF(J30&gt;0,K30-L30,K29-L29))))</f>
        <v>0</v>
      </c>
      <c r="E34" s="1055"/>
      <c r="F34" s="1055"/>
      <c r="G34" s="1055"/>
      <c r="H34" s="1055"/>
      <c r="I34" s="1055"/>
      <c r="J34" s="1055"/>
      <c r="K34" s="1055"/>
      <c r="L34" s="1055"/>
      <c r="M34" s="1056"/>
      <c r="N34" s="382"/>
    </row>
    <row r="35" spans="1:25" s="306" customFormat="1" ht="24.95" customHeight="1" x14ac:dyDescent="0.2">
      <c r="A35" s="164"/>
      <c r="B35" s="953" t="s">
        <v>285</v>
      </c>
      <c r="C35" s="954"/>
      <c r="D35" s="954"/>
      <c r="E35" s="954"/>
      <c r="F35" s="954"/>
      <c r="G35" s="954"/>
      <c r="H35" s="954"/>
      <c r="I35" s="954"/>
      <c r="J35" s="954"/>
      <c r="K35" s="954"/>
      <c r="L35" s="954"/>
      <c r="M35" s="955"/>
      <c r="N35" s="382"/>
      <c r="O35" s="164"/>
      <c r="P35" s="164"/>
      <c r="Q35" s="164"/>
      <c r="R35" s="164"/>
      <c r="S35" s="164"/>
      <c r="T35" s="164"/>
      <c r="U35" s="164"/>
      <c r="V35" s="164"/>
      <c r="W35" s="164"/>
      <c r="X35" s="164"/>
      <c r="Y35" s="164"/>
    </row>
    <row r="36" spans="1:25" s="507" customFormat="1" ht="39.75" customHeight="1" x14ac:dyDescent="0.2">
      <c r="B36" s="1019" t="s">
        <v>584</v>
      </c>
      <c r="C36" s="1020"/>
      <c r="D36" s="1057"/>
      <c r="E36" s="1058"/>
      <c r="F36" s="1058"/>
      <c r="G36" s="1058"/>
      <c r="H36" s="1058"/>
      <c r="I36" s="1058"/>
      <c r="J36" s="1058"/>
      <c r="K36" s="1058"/>
      <c r="L36" s="1058"/>
      <c r="M36" s="1059"/>
      <c r="N36" s="382"/>
    </row>
    <row r="37" spans="1:25" s="507" customFormat="1" ht="39.75" hidden="1" customHeight="1" x14ac:dyDescent="0.2">
      <c r="B37" s="1019" t="s">
        <v>585</v>
      </c>
      <c r="C37" s="1020"/>
      <c r="D37" s="1129"/>
      <c r="E37" s="1130"/>
      <c r="F37" s="1130"/>
      <c r="G37" s="1130"/>
      <c r="H37" s="1130"/>
      <c r="I37" s="1130"/>
      <c r="J37" s="1130"/>
      <c r="K37" s="1130"/>
      <c r="L37" s="1130"/>
      <c r="M37" s="1131"/>
      <c r="N37" s="382"/>
    </row>
    <row r="38" spans="1:25" s="507" customFormat="1" ht="79.5" customHeight="1" x14ac:dyDescent="0.2">
      <c r="B38" s="374" t="s">
        <v>318</v>
      </c>
      <c r="C38" s="375" t="s">
        <v>284</v>
      </c>
      <c r="D38" s="1034" t="s">
        <v>568</v>
      </c>
      <c r="E38" s="1034"/>
      <c r="F38" s="1034"/>
      <c r="G38" s="1034" t="s">
        <v>490</v>
      </c>
      <c r="H38" s="1034"/>
      <c r="I38" s="1034"/>
      <c r="J38" s="631" t="s">
        <v>269</v>
      </c>
      <c r="K38" s="631" t="s">
        <v>491</v>
      </c>
      <c r="L38" s="631" t="s">
        <v>492</v>
      </c>
      <c r="M38" s="376" t="s">
        <v>322</v>
      </c>
      <c r="N38" s="382"/>
    </row>
    <row r="39" spans="1:25" ht="24.95" customHeight="1" x14ac:dyDescent="0.2">
      <c r="B39" s="399"/>
      <c r="C39" s="400"/>
      <c r="D39" s="1043" t="e">
        <f>IF('SITE SUMMARY'!$G$35="High",E155,"-")</f>
        <v>#DIV/0!</v>
      </c>
      <c r="E39" s="1044"/>
      <c r="F39" s="1045"/>
      <c r="G39" s="1060"/>
      <c r="H39" s="1061"/>
      <c r="I39" s="1062"/>
      <c r="J39" s="378">
        <f>IF(ISERROR(VLOOKUP(C39,BMP,2,FALSE)),0,VLOOKUP(C39,BMP,2,FALSE))</f>
        <v>0</v>
      </c>
      <c r="K39" s="625">
        <f>IF(ISERROR($F$114),D36,$F$114+D36)</f>
        <v>0</v>
      </c>
      <c r="L39" s="625">
        <f>IF(ISERROR(K39*J39),0,K39*J39)</f>
        <v>0</v>
      </c>
      <c r="M39" s="401"/>
      <c r="N39" s="382"/>
      <c r="O39" s="379"/>
      <c r="P39" s="379"/>
      <c r="Q39" s="379"/>
      <c r="R39" s="379"/>
      <c r="S39" s="379"/>
      <c r="T39" s="379"/>
    </row>
    <row r="40" spans="1:25" ht="24.95" customHeight="1" x14ac:dyDescent="0.2">
      <c r="B40" s="399"/>
      <c r="C40" s="400"/>
      <c r="D40" s="1046"/>
      <c r="E40" s="1047"/>
      <c r="F40" s="1048"/>
      <c r="G40" s="1063"/>
      <c r="H40" s="1064"/>
      <c r="I40" s="1065"/>
      <c r="J40" s="378">
        <f>IF(ISERROR(VLOOKUP(C40,BMP,2,FALSE)),0,VLOOKUP(C40,BMP,2,FALSE))</f>
        <v>0</v>
      </c>
      <c r="K40" s="625">
        <f>IF(ISERROR(K39-L39),0,K39-L39)</f>
        <v>0</v>
      </c>
      <c r="L40" s="625">
        <f>IF(ISERROR(K40*J40),0,K40*J40)</f>
        <v>0</v>
      </c>
      <c r="M40" s="401"/>
      <c r="N40" s="382"/>
    </row>
    <row r="41" spans="1:25" ht="24.75" customHeight="1" x14ac:dyDescent="0.2">
      <c r="B41" s="399"/>
      <c r="C41" s="400"/>
      <c r="D41" s="1046"/>
      <c r="E41" s="1047"/>
      <c r="F41" s="1048"/>
      <c r="G41" s="1063"/>
      <c r="H41" s="1064"/>
      <c r="I41" s="1065"/>
      <c r="J41" s="378">
        <f>IF(ISERROR(VLOOKUP(C41,BMP,2,FALSE)),0,VLOOKUP(C41,BMP,2,FALSE))</f>
        <v>0</v>
      </c>
      <c r="K41" s="625">
        <f>IF(ISERROR(K40-L40),0,K40-L40)</f>
        <v>0</v>
      </c>
      <c r="L41" s="625">
        <f>IF(ISERROR(K41*J41),0,K41*J41)</f>
        <v>0</v>
      </c>
      <c r="M41" s="401"/>
      <c r="N41" s="382"/>
    </row>
    <row r="42" spans="1:25" ht="24.95" customHeight="1" x14ac:dyDescent="0.2">
      <c r="B42" s="399"/>
      <c r="C42" s="400"/>
      <c r="D42" s="1046"/>
      <c r="E42" s="1047"/>
      <c r="F42" s="1048"/>
      <c r="G42" s="1063"/>
      <c r="H42" s="1064"/>
      <c r="I42" s="1065"/>
      <c r="J42" s="378">
        <f>IF(ISERROR(VLOOKUP(C42,BMP,2,FALSE)),0,VLOOKUP(C42,BMP,2,FALSE))</f>
        <v>0</v>
      </c>
      <c r="K42" s="625">
        <f>IF(ISERROR(K41-L41),0,K41-L41)</f>
        <v>0</v>
      </c>
      <c r="L42" s="625">
        <f>IF(ISERROR(K42*J42),0,K42*J42)</f>
        <v>0</v>
      </c>
      <c r="M42" s="401"/>
      <c r="N42" s="382"/>
    </row>
    <row r="43" spans="1:25" ht="24.95" customHeight="1" x14ac:dyDescent="0.2">
      <c r="B43" s="399"/>
      <c r="C43" s="400"/>
      <c r="D43" s="1049"/>
      <c r="E43" s="1050"/>
      <c r="F43" s="1051"/>
      <c r="G43" s="1066"/>
      <c r="H43" s="1067"/>
      <c r="I43" s="1068"/>
      <c r="J43" s="378">
        <f>IF(ISERROR(VLOOKUP(C43,BMP,2,FALSE)),0,VLOOKUP(C43,BMP,2,FALSE))</f>
        <v>0</v>
      </c>
      <c r="K43" s="625">
        <f>IF(ISERROR(K42-L42),0,K42-L42)</f>
        <v>0</v>
      </c>
      <c r="L43" s="625">
        <f>IF(ISERROR(K43*J43),0,K43*J43)</f>
        <v>0</v>
      </c>
      <c r="M43" s="401"/>
      <c r="N43" s="381"/>
    </row>
    <row r="44" spans="1:25" ht="24.95" customHeight="1" x14ac:dyDescent="0.2">
      <c r="B44" s="1052" t="s">
        <v>371</v>
      </c>
      <c r="C44" s="1053"/>
      <c r="D44" s="1054">
        <f>IF(J43&gt;0,K43-L43,IF(J42&gt;0,K42-L42,IF(J41&gt;0,K41-L41,IF(J40&gt;0,K40-L40,K39-L39))))</f>
        <v>0</v>
      </c>
      <c r="E44" s="1055"/>
      <c r="F44" s="1055"/>
      <c r="G44" s="1055"/>
      <c r="H44" s="1055"/>
      <c r="I44" s="1055"/>
      <c r="J44" s="1055"/>
      <c r="K44" s="1055"/>
      <c r="L44" s="1055"/>
      <c r="M44" s="1056"/>
      <c r="N44" s="382"/>
    </row>
    <row r="45" spans="1:25" s="306" customFormat="1" ht="24.95" customHeight="1" x14ac:dyDescent="0.2">
      <c r="A45" s="164"/>
      <c r="B45" s="953" t="s">
        <v>298</v>
      </c>
      <c r="C45" s="954"/>
      <c r="D45" s="954"/>
      <c r="E45" s="954"/>
      <c r="F45" s="954"/>
      <c r="G45" s="954"/>
      <c r="H45" s="954"/>
      <c r="I45" s="954"/>
      <c r="J45" s="954"/>
      <c r="K45" s="954"/>
      <c r="L45" s="954"/>
      <c r="M45" s="955"/>
      <c r="N45" s="382"/>
      <c r="O45" s="164"/>
      <c r="P45" s="164"/>
      <c r="Q45" s="164"/>
      <c r="R45" s="164"/>
      <c r="S45" s="164"/>
      <c r="T45" s="164"/>
      <c r="U45" s="164"/>
      <c r="V45" s="164"/>
      <c r="W45" s="164"/>
      <c r="X45" s="164"/>
      <c r="Y45" s="164"/>
    </row>
    <row r="46" spans="1:25" s="507" customFormat="1" ht="39.950000000000003" customHeight="1" x14ac:dyDescent="0.2">
      <c r="B46" s="1019" t="s">
        <v>586</v>
      </c>
      <c r="C46" s="1020"/>
      <c r="D46" s="1057"/>
      <c r="E46" s="1058"/>
      <c r="F46" s="1058"/>
      <c r="G46" s="1058"/>
      <c r="H46" s="1058"/>
      <c r="I46" s="1058"/>
      <c r="J46" s="1058"/>
      <c r="K46" s="1058"/>
      <c r="L46" s="1058"/>
      <c r="M46" s="1059"/>
      <c r="N46" s="382"/>
    </row>
    <row r="47" spans="1:25" s="507" customFormat="1" ht="39.950000000000003" hidden="1" customHeight="1" x14ac:dyDescent="0.2">
      <c r="B47" s="1019" t="s">
        <v>587</v>
      </c>
      <c r="C47" s="1020"/>
      <c r="D47" s="1129"/>
      <c r="E47" s="1130"/>
      <c r="F47" s="1130"/>
      <c r="G47" s="1130"/>
      <c r="H47" s="1130"/>
      <c r="I47" s="1130"/>
      <c r="J47" s="1130"/>
      <c r="K47" s="1130"/>
      <c r="L47" s="1130"/>
      <c r="M47" s="1131"/>
      <c r="N47" s="382"/>
    </row>
    <row r="48" spans="1:25" s="507" customFormat="1" ht="79.5" customHeight="1" x14ac:dyDescent="0.2">
      <c r="B48" s="374" t="s">
        <v>318</v>
      </c>
      <c r="C48" s="375" t="s">
        <v>284</v>
      </c>
      <c r="D48" s="1034" t="s">
        <v>568</v>
      </c>
      <c r="E48" s="1034"/>
      <c r="F48" s="1034"/>
      <c r="G48" s="1040" t="s">
        <v>490</v>
      </c>
      <c r="H48" s="1041"/>
      <c r="I48" s="1042"/>
      <c r="J48" s="631" t="s">
        <v>269</v>
      </c>
      <c r="K48" s="631" t="s">
        <v>491</v>
      </c>
      <c r="L48" s="631" t="s">
        <v>492</v>
      </c>
      <c r="M48" s="376" t="s">
        <v>322</v>
      </c>
      <c r="N48" s="382"/>
    </row>
    <row r="49" spans="1:25" ht="24.95" customHeight="1" x14ac:dyDescent="0.2">
      <c r="B49" s="399"/>
      <c r="C49" s="400"/>
      <c r="D49" s="1043" t="e">
        <f>IF('SITE SUMMARY'!$G$35="High",E159,"-")</f>
        <v>#DIV/0!</v>
      </c>
      <c r="E49" s="1044"/>
      <c r="F49" s="1045"/>
      <c r="G49" s="1060"/>
      <c r="H49" s="1061"/>
      <c r="I49" s="1062"/>
      <c r="J49" s="378">
        <f>IF(ISERROR(VLOOKUP(C49,BMP,2,FALSE)),0,VLOOKUP(C49,BMP,2,FALSE))</f>
        <v>0</v>
      </c>
      <c r="K49" s="625">
        <f>IF(ISERROR($G$114),D46,$G$114+D46)</f>
        <v>0</v>
      </c>
      <c r="L49" s="625">
        <f>IF(ISERROR(K49*J49),0,K49*J49)</f>
        <v>0</v>
      </c>
      <c r="M49" s="401"/>
      <c r="N49" s="382"/>
      <c r="O49" s="379"/>
      <c r="P49" s="379"/>
      <c r="Q49" s="379"/>
      <c r="R49" s="379"/>
      <c r="S49" s="379"/>
      <c r="T49" s="379"/>
    </row>
    <row r="50" spans="1:25" ht="24.95" customHeight="1" x14ac:dyDescent="0.2">
      <c r="B50" s="399"/>
      <c r="C50" s="400"/>
      <c r="D50" s="1046"/>
      <c r="E50" s="1047"/>
      <c r="F50" s="1048"/>
      <c r="G50" s="1063"/>
      <c r="H50" s="1064"/>
      <c r="I50" s="1065"/>
      <c r="J50" s="378">
        <f>IF(ISERROR(VLOOKUP(C50,BMP,2,FALSE)),0,VLOOKUP(C50,BMP,2,FALSE))</f>
        <v>0</v>
      </c>
      <c r="K50" s="625">
        <f>IF(ISERROR(K49-L49),0,K49-L49)</f>
        <v>0</v>
      </c>
      <c r="L50" s="625">
        <f>IF(ISERROR(K50*J50),0,K50*J50)</f>
        <v>0</v>
      </c>
      <c r="M50" s="401"/>
      <c r="N50" s="382"/>
    </row>
    <row r="51" spans="1:25" ht="24.95" customHeight="1" x14ac:dyDescent="0.2">
      <c r="B51" s="399"/>
      <c r="C51" s="400"/>
      <c r="D51" s="1046"/>
      <c r="E51" s="1047"/>
      <c r="F51" s="1048"/>
      <c r="G51" s="1063"/>
      <c r="H51" s="1064"/>
      <c r="I51" s="1065"/>
      <c r="J51" s="378">
        <f>IF(ISERROR(VLOOKUP(C51,BMP,2,FALSE)),0,VLOOKUP(C51,BMP,2,FALSE))</f>
        <v>0</v>
      </c>
      <c r="K51" s="625">
        <f>IF(ISERROR(K50-L50),0,K50-L50)</f>
        <v>0</v>
      </c>
      <c r="L51" s="625">
        <f>IF(ISERROR(K51*J51),0,K51*J51)</f>
        <v>0</v>
      </c>
      <c r="M51" s="401"/>
      <c r="N51" s="382"/>
    </row>
    <row r="52" spans="1:25" ht="24.95" customHeight="1" x14ac:dyDescent="0.2">
      <c r="B52" s="399"/>
      <c r="C52" s="400"/>
      <c r="D52" s="1046"/>
      <c r="E52" s="1047"/>
      <c r="F52" s="1048"/>
      <c r="G52" s="1063"/>
      <c r="H52" s="1064"/>
      <c r="I52" s="1065"/>
      <c r="J52" s="378">
        <f>IF(ISERROR(VLOOKUP(C52,BMP,2,FALSE)),0,VLOOKUP(C52,BMP,2,FALSE))</f>
        <v>0</v>
      </c>
      <c r="K52" s="625">
        <f>IF(ISERROR(K51-L51),0,K51-L51)</f>
        <v>0</v>
      </c>
      <c r="L52" s="625">
        <f>IF(ISERROR(K52*J52),0,K52*J52)</f>
        <v>0</v>
      </c>
      <c r="M52" s="401"/>
      <c r="N52" s="382"/>
    </row>
    <row r="53" spans="1:25" ht="24.95" customHeight="1" x14ac:dyDescent="0.2">
      <c r="B53" s="399"/>
      <c r="C53" s="400"/>
      <c r="D53" s="1049"/>
      <c r="E53" s="1050"/>
      <c r="F53" s="1051"/>
      <c r="G53" s="1066"/>
      <c r="H53" s="1067"/>
      <c r="I53" s="1068"/>
      <c r="J53" s="378">
        <f>IF(ISERROR(VLOOKUP(C53,BMP,2,FALSE)),0,VLOOKUP(C53,BMP,2,FALSE))</f>
        <v>0</v>
      </c>
      <c r="K53" s="625">
        <f>IF(ISERROR(K52-L52),0,K52-L52)</f>
        <v>0</v>
      </c>
      <c r="L53" s="625">
        <f>IF(ISERROR(K53*J53),0,K53*J53)</f>
        <v>0</v>
      </c>
      <c r="M53" s="401"/>
      <c r="N53" s="381" t="e">
        <f>IF(G49&gt;(D49+5),"Exceeds Available Volume!","")</f>
        <v>#DIV/0!</v>
      </c>
    </row>
    <row r="54" spans="1:25" ht="24.95" customHeight="1" x14ac:dyDescent="0.2">
      <c r="B54" s="1052" t="s">
        <v>371</v>
      </c>
      <c r="C54" s="1053"/>
      <c r="D54" s="1054">
        <f>IF(J53&gt;0,K326-L53,IF(J52&gt;0,K52-L52,IF(J51&gt;0,K51-L51,IF(J50&gt;0,K50-L50,K49-L49))))</f>
        <v>0</v>
      </c>
      <c r="E54" s="1055"/>
      <c r="F54" s="1055"/>
      <c r="G54" s="1055"/>
      <c r="H54" s="1055"/>
      <c r="I54" s="1055"/>
      <c r="J54" s="1055"/>
      <c r="K54" s="1055"/>
      <c r="L54" s="1055"/>
      <c r="M54" s="1056"/>
      <c r="N54" s="382"/>
    </row>
    <row r="55" spans="1:25" s="306" customFormat="1" ht="24.95" customHeight="1" x14ac:dyDescent="0.2">
      <c r="A55" s="164"/>
      <c r="B55" s="953" t="s">
        <v>287</v>
      </c>
      <c r="C55" s="954"/>
      <c r="D55" s="954"/>
      <c r="E55" s="954"/>
      <c r="F55" s="954"/>
      <c r="G55" s="954"/>
      <c r="H55" s="954"/>
      <c r="I55" s="954"/>
      <c r="J55" s="954"/>
      <c r="K55" s="954"/>
      <c r="L55" s="954"/>
      <c r="M55" s="955"/>
      <c r="N55" s="382"/>
      <c r="O55" s="164"/>
      <c r="P55" s="164"/>
      <c r="Q55" s="164"/>
      <c r="R55" s="164"/>
      <c r="S55" s="164"/>
      <c r="T55" s="164"/>
      <c r="U55" s="164"/>
      <c r="V55" s="164"/>
      <c r="W55" s="164"/>
      <c r="X55" s="164"/>
      <c r="Y55" s="164"/>
    </row>
    <row r="56" spans="1:25" s="507" customFormat="1" ht="39.75" customHeight="1" x14ac:dyDescent="0.2">
      <c r="B56" s="1019" t="s">
        <v>499</v>
      </c>
      <c r="C56" s="1020"/>
      <c r="D56" s="1057"/>
      <c r="E56" s="1058"/>
      <c r="F56" s="1058"/>
      <c r="G56" s="1058"/>
      <c r="H56" s="1058"/>
      <c r="I56" s="1058"/>
      <c r="J56" s="1058"/>
      <c r="K56" s="1058"/>
      <c r="L56" s="1058"/>
      <c r="M56" s="1059"/>
      <c r="N56" s="382"/>
    </row>
    <row r="57" spans="1:25" s="507" customFormat="1" ht="39.75" hidden="1" customHeight="1" x14ac:dyDescent="0.2">
      <c r="B57" s="1019" t="s">
        <v>500</v>
      </c>
      <c r="C57" s="1020"/>
      <c r="D57" s="1129"/>
      <c r="E57" s="1130"/>
      <c r="F57" s="1130"/>
      <c r="G57" s="1130"/>
      <c r="H57" s="1130"/>
      <c r="I57" s="1130"/>
      <c r="J57" s="1130"/>
      <c r="K57" s="1130"/>
      <c r="L57" s="1130"/>
      <c r="M57" s="1131"/>
      <c r="N57" s="382"/>
    </row>
    <row r="58" spans="1:25" s="507" customFormat="1" ht="79.5" customHeight="1" x14ac:dyDescent="0.2">
      <c r="B58" s="374" t="s">
        <v>318</v>
      </c>
      <c r="C58" s="375" t="s">
        <v>284</v>
      </c>
      <c r="D58" s="1034" t="s">
        <v>568</v>
      </c>
      <c r="E58" s="1034"/>
      <c r="F58" s="1034"/>
      <c r="G58" s="1040" t="s">
        <v>490</v>
      </c>
      <c r="H58" s="1041"/>
      <c r="I58" s="1042"/>
      <c r="J58" s="631" t="s">
        <v>269</v>
      </c>
      <c r="K58" s="631" t="s">
        <v>491</v>
      </c>
      <c r="L58" s="631" t="s">
        <v>492</v>
      </c>
      <c r="M58" s="376" t="s">
        <v>322</v>
      </c>
      <c r="N58" s="382"/>
    </row>
    <row r="59" spans="1:25" ht="24.95" customHeight="1" x14ac:dyDescent="0.2">
      <c r="B59" s="399"/>
      <c r="C59" s="400"/>
      <c r="D59" s="1043" t="e">
        <f>IF('SITE SUMMARY'!$G$35="High",E163,"-")</f>
        <v>#DIV/0!</v>
      </c>
      <c r="E59" s="1044"/>
      <c r="F59" s="1045"/>
      <c r="G59" s="1060"/>
      <c r="H59" s="1061"/>
      <c r="I59" s="1062"/>
      <c r="J59" s="378">
        <f>IF(ISERROR(VLOOKUP(C59,BMP,2,FALSE)),0,VLOOKUP(C59,BMP,2,FALSE))</f>
        <v>0</v>
      </c>
      <c r="K59" s="625">
        <f>IF(ISERROR($H$114),D56,$H$114+D56)</f>
        <v>0</v>
      </c>
      <c r="L59" s="625">
        <f>IF(ISERROR(K59*J59),0,K59*J59)</f>
        <v>0</v>
      </c>
      <c r="M59" s="401"/>
      <c r="N59" s="382"/>
      <c r="O59" s="379"/>
      <c r="P59" s="379"/>
      <c r="Q59" s="379"/>
      <c r="R59" s="379"/>
      <c r="S59" s="379"/>
      <c r="T59" s="379"/>
    </row>
    <row r="60" spans="1:25" ht="24.95" customHeight="1" x14ac:dyDescent="0.2">
      <c r="B60" s="399"/>
      <c r="C60" s="400"/>
      <c r="D60" s="1046"/>
      <c r="E60" s="1047"/>
      <c r="F60" s="1048"/>
      <c r="G60" s="1063"/>
      <c r="H60" s="1064"/>
      <c r="I60" s="1065"/>
      <c r="J60" s="378">
        <f>IF(ISERROR(VLOOKUP(C60,BMP,2,FALSE)),0,VLOOKUP(C60,BMP,2,FALSE))</f>
        <v>0</v>
      </c>
      <c r="K60" s="625">
        <f>IF(ISERROR(K59-L59),0,K59-L59)</f>
        <v>0</v>
      </c>
      <c r="L60" s="625">
        <f>IF(ISERROR(K60*J60),0,K60*J60)</f>
        <v>0</v>
      </c>
      <c r="M60" s="401"/>
      <c r="N60" s="382"/>
    </row>
    <row r="61" spans="1:25" ht="24.95" customHeight="1" x14ac:dyDescent="0.2">
      <c r="B61" s="399"/>
      <c r="C61" s="400"/>
      <c r="D61" s="1046"/>
      <c r="E61" s="1047"/>
      <c r="F61" s="1048"/>
      <c r="G61" s="1063"/>
      <c r="H61" s="1064"/>
      <c r="I61" s="1065"/>
      <c r="J61" s="378">
        <f>IF(ISERROR(VLOOKUP(C61,BMP,2,FALSE)),0,VLOOKUP(C61,BMP,2,FALSE))</f>
        <v>0</v>
      </c>
      <c r="K61" s="625">
        <f>IF(ISERROR(K60-L60),0,K60-L60)</f>
        <v>0</v>
      </c>
      <c r="L61" s="625">
        <f>IF(ISERROR(K61*J61),0,K61*J61)</f>
        <v>0</v>
      </c>
      <c r="M61" s="401"/>
      <c r="N61" s="382"/>
    </row>
    <row r="62" spans="1:25" ht="24.95" customHeight="1" x14ac:dyDescent="0.2">
      <c r="B62" s="399"/>
      <c r="C62" s="400"/>
      <c r="D62" s="1046"/>
      <c r="E62" s="1047"/>
      <c r="F62" s="1048"/>
      <c r="G62" s="1063"/>
      <c r="H62" s="1064"/>
      <c r="I62" s="1065"/>
      <c r="J62" s="378">
        <f>IF(ISERROR(VLOOKUP(C62,BMP,2,FALSE)),0,VLOOKUP(C62,BMP,2,FALSE))</f>
        <v>0</v>
      </c>
      <c r="K62" s="625">
        <f>IF(ISERROR(K61-L61),0,K61-L61)</f>
        <v>0</v>
      </c>
      <c r="L62" s="625">
        <f>IF(ISERROR(K62*J62),0,K62*J62)</f>
        <v>0</v>
      </c>
      <c r="M62" s="401"/>
      <c r="N62" s="382"/>
    </row>
    <row r="63" spans="1:25" ht="24.95" customHeight="1" x14ac:dyDescent="0.2">
      <c r="B63" s="399"/>
      <c r="C63" s="400"/>
      <c r="D63" s="1049"/>
      <c r="E63" s="1050"/>
      <c r="F63" s="1051"/>
      <c r="G63" s="1066"/>
      <c r="H63" s="1067"/>
      <c r="I63" s="1068"/>
      <c r="J63" s="378">
        <f>IF(ISERROR(VLOOKUP(C63,BMP,2,FALSE)),0,VLOOKUP(C63,BMP,2,FALSE))</f>
        <v>0</v>
      </c>
      <c r="K63" s="625">
        <f>IF(ISERROR(K62-L62),0,K62-L62)</f>
        <v>0</v>
      </c>
      <c r="L63" s="625">
        <f>IF(ISERROR(K63*J63),0,K63*J63)</f>
        <v>0</v>
      </c>
      <c r="M63" s="401"/>
      <c r="N63" s="381" t="e">
        <f>IF(G59&gt;(D59+5),"Exceeds Available Volume!","")</f>
        <v>#DIV/0!</v>
      </c>
    </row>
    <row r="64" spans="1:25" ht="24.95" customHeight="1" x14ac:dyDescent="0.2">
      <c r="B64" s="1052" t="s">
        <v>371</v>
      </c>
      <c r="C64" s="1053"/>
      <c r="D64" s="1054">
        <f>IF(J63&gt;0,K63-L63,IF(J62&gt;0,K62-L62,IF(J61&gt;0,K61-L61,IF(J60&gt;0,K60-L60,K59-L59))))</f>
        <v>0</v>
      </c>
      <c r="E64" s="1055"/>
      <c r="F64" s="1055"/>
      <c r="G64" s="1055"/>
      <c r="H64" s="1055"/>
      <c r="I64" s="1055"/>
      <c r="J64" s="1055"/>
      <c r="K64" s="1055"/>
      <c r="L64" s="1055"/>
      <c r="M64" s="1056"/>
      <c r="N64" s="382"/>
    </row>
    <row r="65" spans="1:25" s="306" customFormat="1" ht="24.95" customHeight="1" x14ac:dyDescent="0.2">
      <c r="A65" s="164"/>
      <c r="B65" s="953" t="s">
        <v>372</v>
      </c>
      <c r="C65" s="954"/>
      <c r="D65" s="954"/>
      <c r="E65" s="954"/>
      <c r="F65" s="954"/>
      <c r="G65" s="954"/>
      <c r="H65" s="954"/>
      <c r="I65" s="954"/>
      <c r="J65" s="954"/>
      <c r="K65" s="954"/>
      <c r="L65" s="954"/>
      <c r="M65" s="955"/>
      <c r="N65" s="334"/>
      <c r="O65" s="164"/>
      <c r="P65" s="164"/>
      <c r="Q65" s="164"/>
      <c r="R65" s="164"/>
      <c r="S65" s="164"/>
      <c r="T65" s="164"/>
      <c r="U65" s="164"/>
      <c r="V65" s="164"/>
      <c r="W65" s="164"/>
      <c r="X65" s="164"/>
      <c r="Y65" s="164"/>
    </row>
    <row r="66" spans="1:25" s="507" customFormat="1" ht="39.950000000000003" customHeight="1" x14ac:dyDescent="0.2">
      <c r="B66" s="1019" t="s">
        <v>373</v>
      </c>
      <c r="C66" s="1020"/>
      <c r="D66" s="1057"/>
      <c r="E66" s="1058"/>
      <c r="F66" s="1058"/>
      <c r="G66" s="1058"/>
      <c r="H66" s="1058"/>
      <c r="I66" s="1058"/>
      <c r="J66" s="1058"/>
      <c r="K66" s="1058"/>
      <c r="L66" s="1058"/>
      <c r="M66" s="1059"/>
      <c r="N66" s="382"/>
    </row>
    <row r="67" spans="1:25" s="507" customFormat="1" ht="39.950000000000003" hidden="1" customHeight="1" x14ac:dyDescent="0.2">
      <c r="B67" s="1019" t="s">
        <v>501</v>
      </c>
      <c r="C67" s="1020"/>
      <c r="D67" s="1129"/>
      <c r="E67" s="1130"/>
      <c r="F67" s="1130"/>
      <c r="G67" s="1130"/>
      <c r="H67" s="1130"/>
      <c r="I67" s="1130"/>
      <c r="J67" s="1130"/>
      <c r="K67" s="1130"/>
      <c r="L67" s="1130"/>
      <c r="M67" s="1131"/>
      <c r="N67" s="382"/>
    </row>
    <row r="68" spans="1:25" s="507" customFormat="1" ht="79.5" customHeight="1" x14ac:dyDescent="0.2">
      <c r="B68" s="374" t="s">
        <v>318</v>
      </c>
      <c r="C68" s="375" t="s">
        <v>284</v>
      </c>
      <c r="D68" s="1034" t="s">
        <v>568</v>
      </c>
      <c r="E68" s="1034"/>
      <c r="F68" s="1034"/>
      <c r="G68" s="1034" t="s">
        <v>490</v>
      </c>
      <c r="H68" s="1034"/>
      <c r="I68" s="1034"/>
      <c r="J68" s="631" t="s">
        <v>269</v>
      </c>
      <c r="K68" s="631" t="s">
        <v>491</v>
      </c>
      <c r="L68" s="631" t="s">
        <v>492</v>
      </c>
      <c r="M68" s="376" t="s">
        <v>322</v>
      </c>
      <c r="N68" s="382"/>
    </row>
    <row r="69" spans="1:25" ht="24.95" customHeight="1" x14ac:dyDescent="0.2">
      <c r="B69" s="399"/>
      <c r="C69" s="400"/>
      <c r="D69" s="1043" t="e">
        <f>IF('SITE SUMMARY'!$G$35="High",E167,"-")</f>
        <v>#DIV/0!</v>
      </c>
      <c r="E69" s="1044"/>
      <c r="F69" s="1045"/>
      <c r="G69" s="1060"/>
      <c r="H69" s="1061"/>
      <c r="I69" s="1062"/>
      <c r="J69" s="378">
        <f>IF(ISERROR(VLOOKUP(C69,BMP,2,FALSE)),0,VLOOKUP(C69,BMP,2,FALSE))</f>
        <v>0</v>
      </c>
      <c r="K69" s="625">
        <f>IF(ISERROR($I$114),D66,$I$114+D66)</f>
        <v>0</v>
      </c>
      <c r="L69" s="625">
        <f>IF(ISERROR(K69*J69),0,K69*J69)</f>
        <v>0</v>
      </c>
      <c r="M69" s="401"/>
      <c r="N69" s="382"/>
      <c r="O69" s="379"/>
      <c r="P69" s="379"/>
      <c r="Q69" s="379"/>
      <c r="R69" s="379"/>
      <c r="S69" s="379"/>
      <c r="T69" s="379"/>
    </row>
    <row r="70" spans="1:25" ht="24.95" customHeight="1" x14ac:dyDescent="0.2">
      <c r="B70" s="399"/>
      <c r="C70" s="400"/>
      <c r="D70" s="1046"/>
      <c r="E70" s="1047"/>
      <c r="F70" s="1048"/>
      <c r="G70" s="1063"/>
      <c r="H70" s="1064"/>
      <c r="I70" s="1065"/>
      <c r="J70" s="378">
        <f>IF(ISERROR(VLOOKUP(C70,BMP,2,FALSE)),0,VLOOKUP(C70,BMP,2,FALSE))</f>
        <v>0</v>
      </c>
      <c r="K70" s="625">
        <f>IF(ISERROR(K69-L69),0,K69-L69)</f>
        <v>0</v>
      </c>
      <c r="L70" s="625">
        <f>IF(ISERROR(K70*J70),0,K70*J70)</f>
        <v>0</v>
      </c>
      <c r="M70" s="401"/>
      <c r="N70" s="382"/>
    </row>
    <row r="71" spans="1:25" ht="24.95" customHeight="1" x14ac:dyDescent="0.2">
      <c r="B71" s="399"/>
      <c r="C71" s="400"/>
      <c r="D71" s="1046"/>
      <c r="E71" s="1047"/>
      <c r="F71" s="1048"/>
      <c r="G71" s="1063"/>
      <c r="H71" s="1064"/>
      <c r="I71" s="1065"/>
      <c r="J71" s="378">
        <f>IF(ISERROR(VLOOKUP(C71,BMP,2,FALSE)),0,VLOOKUP(C71,BMP,2,FALSE))</f>
        <v>0</v>
      </c>
      <c r="K71" s="625">
        <f>IF(ISERROR(K70-L70),0,K70-L70)</f>
        <v>0</v>
      </c>
      <c r="L71" s="625">
        <f>IF(ISERROR(K71*J71),0,K71*J71)</f>
        <v>0</v>
      </c>
      <c r="M71" s="401"/>
      <c r="N71" s="382"/>
    </row>
    <row r="72" spans="1:25" ht="24.95" customHeight="1" x14ac:dyDescent="0.2">
      <c r="B72" s="399"/>
      <c r="C72" s="400"/>
      <c r="D72" s="1046"/>
      <c r="E72" s="1047"/>
      <c r="F72" s="1048"/>
      <c r="G72" s="1063"/>
      <c r="H72" s="1064"/>
      <c r="I72" s="1065"/>
      <c r="J72" s="378">
        <f>IF(ISERROR(VLOOKUP(C72,BMP,2,FALSE)),0,VLOOKUP(C72,BMP,2,FALSE))</f>
        <v>0</v>
      </c>
      <c r="K72" s="625">
        <f>IF(ISERROR(K71-L71),0,K71-L71)</f>
        <v>0</v>
      </c>
      <c r="L72" s="625">
        <f>IF(ISERROR(K72*J72),0,K72*J72)</f>
        <v>0</v>
      </c>
      <c r="M72" s="401"/>
      <c r="N72" s="382"/>
    </row>
    <row r="73" spans="1:25" ht="24.95" customHeight="1" x14ac:dyDescent="0.2">
      <c r="B73" s="399"/>
      <c r="C73" s="400"/>
      <c r="D73" s="1049"/>
      <c r="E73" s="1050"/>
      <c r="F73" s="1051"/>
      <c r="G73" s="1066"/>
      <c r="H73" s="1067"/>
      <c r="I73" s="1068"/>
      <c r="J73" s="378">
        <f>IF(ISERROR(VLOOKUP(C73,BMP,2,FALSE)),0,VLOOKUP(C73,BMP,2,FALSE))</f>
        <v>0</v>
      </c>
      <c r="K73" s="625">
        <f>IF(ISERROR(K72-L72),0,K72-L72)</f>
        <v>0</v>
      </c>
      <c r="L73" s="625">
        <f>IF(ISERROR(K73*J73),0,K73*J73)</f>
        <v>0</v>
      </c>
      <c r="M73" s="401"/>
      <c r="N73" s="381" t="e">
        <f>IF(G69&gt;(D69+5),"Exceeds Available Volume!","")</f>
        <v>#DIV/0!</v>
      </c>
    </row>
    <row r="74" spans="1:25" ht="24.95" customHeight="1" x14ac:dyDescent="0.2">
      <c r="B74" s="1052" t="s">
        <v>371</v>
      </c>
      <c r="C74" s="1053"/>
      <c r="D74" s="1054">
        <f>IF(J73&gt;0,K73-L73,IF(J72&gt;0,K72-L72,IF(J71&gt;0,K71-L71,IF(J70&gt;0,K70-L70,K69-L69))))</f>
        <v>0</v>
      </c>
      <c r="E74" s="1055"/>
      <c r="F74" s="1055"/>
      <c r="G74" s="1055"/>
      <c r="H74" s="1055"/>
      <c r="I74" s="1055"/>
      <c r="J74" s="1055"/>
      <c r="K74" s="1055"/>
      <c r="L74" s="1055"/>
      <c r="M74" s="1056"/>
      <c r="N74" s="382"/>
    </row>
    <row r="75" spans="1:25" ht="24.95" customHeight="1" x14ac:dyDescent="0.2">
      <c r="B75" s="1116" t="s">
        <v>705</v>
      </c>
      <c r="C75" s="1117"/>
      <c r="D75" s="1117"/>
      <c r="E75" s="1117"/>
      <c r="F75" s="1117"/>
      <c r="G75" s="1117"/>
      <c r="H75" s="1117"/>
      <c r="I75" s="1117"/>
      <c r="J75" s="1117"/>
      <c r="K75" s="1117"/>
      <c r="L75" s="1117"/>
      <c r="M75" s="1118"/>
      <c r="N75" s="1132" t="s">
        <v>422</v>
      </c>
    </row>
    <row r="76" spans="1:25" ht="24.95" customHeight="1" x14ac:dyDescent="0.2">
      <c r="B76" s="1110" t="s">
        <v>493</v>
      </c>
      <c r="C76" s="1111"/>
      <c r="D76" s="1112">
        <f>G29+G39+G49+G59+G69</f>
        <v>0</v>
      </c>
      <c r="E76" s="1113"/>
      <c r="F76" s="1113"/>
      <c r="G76" s="1113"/>
      <c r="H76" s="1113"/>
      <c r="I76" s="1113"/>
      <c r="J76" s="1113"/>
      <c r="K76" s="1113"/>
      <c r="L76" s="1113"/>
      <c r="M76" s="1114"/>
      <c r="N76" s="1132"/>
    </row>
    <row r="77" spans="1:25" ht="24.95" customHeight="1" x14ac:dyDescent="0.2">
      <c r="B77" s="1069" t="s">
        <v>338</v>
      </c>
      <c r="C77" s="884"/>
      <c r="D77" s="1070">
        <f>SUM(L29:L33,L39:L43,L49:L53,L59:L63,L69:L73)</f>
        <v>0</v>
      </c>
      <c r="E77" s="1070"/>
      <c r="F77" s="1070"/>
      <c r="G77" s="1070"/>
      <c r="H77" s="1070"/>
      <c r="I77" s="1070"/>
      <c r="J77" s="1070"/>
      <c r="K77" s="1070"/>
      <c r="L77" s="1070"/>
      <c r="M77" s="1071"/>
      <c r="N77" s="1132"/>
    </row>
    <row r="78" spans="1:25" ht="24.95" customHeight="1" x14ac:dyDescent="0.2">
      <c r="B78" s="1099" t="s">
        <v>337</v>
      </c>
      <c r="C78" s="1100"/>
      <c r="D78" s="1100"/>
      <c r="E78" s="1100"/>
      <c r="F78" s="1100"/>
      <c r="G78" s="1100"/>
      <c r="H78" s="1100"/>
      <c r="I78" s="1100"/>
      <c r="J78" s="1100"/>
      <c r="K78" s="1100"/>
      <c r="L78" s="1100"/>
      <c r="M78" s="1101"/>
      <c r="N78" s="1132"/>
    </row>
    <row r="79" spans="1:25" ht="24.95" customHeight="1" x14ac:dyDescent="0.2">
      <c r="B79" s="883" t="s">
        <v>465</v>
      </c>
      <c r="C79" s="884"/>
      <c r="D79" s="1072">
        <f>IF(('DA9'!H83-D76)&lt;0,0,'DA9'!H83-D76)</f>
        <v>0</v>
      </c>
      <c r="E79" s="1072"/>
      <c r="F79" s="1072"/>
      <c r="G79" s="1072"/>
      <c r="H79" s="1072"/>
      <c r="I79" s="1072"/>
      <c r="J79" s="1072"/>
      <c r="K79" s="1072"/>
      <c r="L79" s="1072"/>
      <c r="M79" s="1073"/>
      <c r="N79" s="1132"/>
    </row>
    <row r="80" spans="1:25" ht="24.95" customHeight="1" x14ac:dyDescent="0.2">
      <c r="B80" s="1069" t="s">
        <v>413</v>
      </c>
      <c r="C80" s="884"/>
      <c r="D80" s="1074" t="e">
        <f>((((D79)/(C9*43560)))*12)</f>
        <v>#DIV/0!</v>
      </c>
      <c r="E80" s="1074"/>
      <c r="F80" s="1074"/>
      <c r="G80" s="1074"/>
      <c r="H80" s="1074"/>
      <c r="I80" s="1074"/>
      <c r="J80" s="1074"/>
      <c r="K80" s="1074"/>
      <c r="L80" s="1074"/>
      <c r="M80" s="1075"/>
      <c r="N80" s="1132"/>
    </row>
    <row r="81" spans="1:14" ht="24.95" customHeight="1" x14ac:dyDescent="0.2">
      <c r="B81" s="1069" t="s">
        <v>409</v>
      </c>
      <c r="C81" s="884"/>
      <c r="D81" s="1076">
        <f>IF(ISERROR(VLOOKUP($D$80,CN,2,TRUE)),0,VLOOKUP($D$80,CN,2,TRUE))</f>
        <v>0</v>
      </c>
      <c r="E81" s="1076"/>
      <c r="F81" s="1076"/>
      <c r="G81" s="1076"/>
      <c r="H81" s="1076"/>
      <c r="I81" s="1076"/>
      <c r="J81" s="1076"/>
      <c r="K81" s="1076"/>
      <c r="L81" s="1076"/>
      <c r="M81" s="1077"/>
      <c r="N81" s="1132"/>
    </row>
    <row r="82" spans="1:14" ht="33.75" customHeight="1" x14ac:dyDescent="0.2">
      <c r="B82" s="1069" t="s">
        <v>353</v>
      </c>
      <c r="C82" s="884"/>
      <c r="D82" s="1102"/>
      <c r="E82" s="1103"/>
      <c r="F82" s="1103"/>
      <c r="G82" s="1103"/>
      <c r="H82" s="1103"/>
      <c r="I82" s="1103"/>
      <c r="J82" s="1103"/>
      <c r="K82" s="1103"/>
      <c r="L82" s="1103"/>
      <c r="M82" s="1104"/>
      <c r="N82" s="1132"/>
    </row>
    <row r="83" spans="1:14" ht="24.95" customHeight="1" x14ac:dyDescent="0.2">
      <c r="B83" s="1099" t="s">
        <v>374</v>
      </c>
      <c r="C83" s="1100"/>
      <c r="D83" s="1100"/>
      <c r="E83" s="1100"/>
      <c r="F83" s="1100"/>
      <c r="G83" s="1100"/>
      <c r="H83" s="1100"/>
      <c r="I83" s="1100"/>
      <c r="J83" s="1100"/>
      <c r="K83" s="1100"/>
      <c r="L83" s="1100"/>
      <c r="M83" s="1101"/>
      <c r="N83" s="1132"/>
    </row>
    <row r="84" spans="1:14" ht="24.95" customHeight="1" x14ac:dyDescent="0.2">
      <c r="B84" s="883" t="s">
        <v>416</v>
      </c>
      <c r="C84" s="884"/>
      <c r="D84" s="1072" t="e">
        <f>IF(('DA9'!H88-D76)&lt;0,0,'DA9'!H88-D76)</f>
        <v>#DIV/0!</v>
      </c>
      <c r="E84" s="1072"/>
      <c r="F84" s="1072"/>
      <c r="G84" s="1072"/>
      <c r="H84" s="1072"/>
      <c r="I84" s="1072"/>
      <c r="J84" s="1072"/>
      <c r="K84" s="1072"/>
      <c r="L84" s="1072"/>
      <c r="M84" s="1073"/>
      <c r="N84" s="1132"/>
    </row>
    <row r="85" spans="1:14" ht="24.95" customHeight="1" x14ac:dyDescent="0.2">
      <c r="B85" s="1105" t="s">
        <v>411</v>
      </c>
      <c r="C85" s="1106"/>
      <c r="D85" s="1074" t="e">
        <f>((D84/(C9*43560)))*12</f>
        <v>#DIV/0!</v>
      </c>
      <c r="E85" s="1074"/>
      <c r="F85" s="1074"/>
      <c r="G85" s="1074"/>
      <c r="H85" s="1074"/>
      <c r="I85" s="1074"/>
      <c r="J85" s="1074"/>
      <c r="K85" s="1074"/>
      <c r="L85" s="1074"/>
      <c r="M85" s="1075"/>
      <c r="N85" s="1132"/>
    </row>
    <row r="86" spans="1:14" ht="24.95" customHeight="1" x14ac:dyDescent="0.2">
      <c r="B86" s="1069" t="s">
        <v>431</v>
      </c>
      <c r="C86" s="884"/>
      <c r="D86" s="1076">
        <f>IF(ISERROR(VLOOKUP(D85,CN2YR,2,TRUE)),0,VLOOKUP(D85,CN2YR,2,TRUE))</f>
        <v>0</v>
      </c>
      <c r="E86" s="1076"/>
      <c r="F86" s="1076"/>
      <c r="G86" s="1076"/>
      <c r="H86" s="1076"/>
      <c r="I86" s="1076"/>
      <c r="J86" s="1076"/>
      <c r="K86" s="1076"/>
      <c r="L86" s="1076"/>
      <c r="M86" s="1077"/>
      <c r="N86" s="1132"/>
    </row>
    <row r="87" spans="1:14" ht="33.75" customHeight="1" x14ac:dyDescent="0.2">
      <c r="B87" s="1069" t="s">
        <v>410</v>
      </c>
      <c r="C87" s="884"/>
      <c r="D87" s="1102"/>
      <c r="E87" s="1103"/>
      <c r="F87" s="1103"/>
      <c r="G87" s="1103"/>
      <c r="H87" s="1103"/>
      <c r="I87" s="1103"/>
      <c r="J87" s="1103"/>
      <c r="K87" s="1103"/>
      <c r="L87" s="1103"/>
      <c r="M87" s="1104"/>
      <c r="N87" s="1132"/>
    </row>
    <row r="88" spans="1:14" ht="24.95" customHeight="1" x14ac:dyDescent="0.2">
      <c r="B88" s="1099" t="s">
        <v>376</v>
      </c>
      <c r="C88" s="1100"/>
      <c r="D88" s="1100"/>
      <c r="E88" s="1100"/>
      <c r="F88" s="1100"/>
      <c r="G88" s="1100"/>
      <c r="H88" s="1100"/>
      <c r="I88" s="1100"/>
      <c r="J88" s="1100"/>
      <c r="K88" s="1100"/>
      <c r="L88" s="1100"/>
      <c r="M88" s="1101"/>
      <c r="N88" s="1132"/>
    </row>
    <row r="89" spans="1:14" s="169" customFormat="1" ht="24.95" hidden="1" customHeight="1" x14ac:dyDescent="0.2">
      <c r="A89" s="216"/>
      <c r="B89" s="1097" t="s">
        <v>417</v>
      </c>
      <c r="C89" s="1098"/>
      <c r="D89" s="1078" t="e">
        <f>('DA9'!H91/12)*('DA9'!H10*43560)</f>
        <v>#DIV/0!</v>
      </c>
      <c r="E89" s="1079"/>
      <c r="F89" s="1079"/>
      <c r="G89" s="1079"/>
      <c r="H89" s="1079"/>
      <c r="I89" s="1079"/>
      <c r="J89" s="1079"/>
      <c r="K89" s="1079"/>
      <c r="L89" s="1079"/>
      <c r="M89" s="1080"/>
      <c r="N89" s="1132"/>
    </row>
    <row r="90" spans="1:14" ht="24.95" customHeight="1" x14ac:dyDescent="0.2">
      <c r="B90" s="883" t="s">
        <v>466</v>
      </c>
      <c r="C90" s="884"/>
      <c r="D90" s="1072" t="e">
        <f>IF(('DA9'!H92-D76)&lt;0,0,'DA9'!H92-D76)</f>
        <v>#DIV/0!</v>
      </c>
      <c r="E90" s="1072"/>
      <c r="F90" s="1072"/>
      <c r="G90" s="1072"/>
      <c r="H90" s="1072"/>
      <c r="I90" s="1072"/>
      <c r="J90" s="1072"/>
      <c r="K90" s="1072"/>
      <c r="L90" s="1072"/>
      <c r="M90" s="1073"/>
      <c r="N90" s="1132"/>
    </row>
    <row r="91" spans="1:14" ht="24.95" customHeight="1" x14ac:dyDescent="0.2">
      <c r="B91" s="1069" t="s">
        <v>432</v>
      </c>
      <c r="C91" s="884"/>
      <c r="D91" s="1074" t="e">
        <f>((D90/(C9*43560)))*12</f>
        <v>#DIV/0!</v>
      </c>
      <c r="E91" s="1074"/>
      <c r="F91" s="1074"/>
      <c r="G91" s="1074"/>
      <c r="H91" s="1074"/>
      <c r="I91" s="1074"/>
      <c r="J91" s="1074"/>
      <c r="K91" s="1074"/>
      <c r="L91" s="1074"/>
      <c r="M91" s="1075"/>
      <c r="N91" s="1132"/>
    </row>
    <row r="92" spans="1:14" ht="24.95" customHeight="1" x14ac:dyDescent="0.2">
      <c r="B92" s="1105" t="s">
        <v>433</v>
      </c>
      <c r="C92" s="1106"/>
      <c r="D92" s="1076">
        <f>IF(ISERROR(VLOOKUP(D91,CN2YR,2,TRUE)),0,VLOOKUP(D91,CN2YR,2,TRUE))</f>
        <v>0</v>
      </c>
      <c r="E92" s="1076"/>
      <c r="F92" s="1076"/>
      <c r="G92" s="1076"/>
      <c r="H92" s="1076"/>
      <c r="I92" s="1076"/>
      <c r="J92" s="1076"/>
      <c r="K92" s="1076"/>
      <c r="L92" s="1076"/>
      <c r="M92" s="1077"/>
      <c r="N92" s="1132"/>
    </row>
    <row r="93" spans="1:14" ht="33.75" customHeight="1" thickBot="1" x14ac:dyDescent="0.25">
      <c r="B93" s="1021" t="s">
        <v>412</v>
      </c>
      <c r="C93" s="1022"/>
      <c r="D93" s="1023"/>
      <c r="E93" s="1024"/>
      <c r="F93" s="1024"/>
      <c r="G93" s="1024"/>
      <c r="H93" s="1024"/>
      <c r="I93" s="1024"/>
      <c r="J93" s="1024"/>
      <c r="K93" s="1024"/>
      <c r="L93" s="1024"/>
      <c r="M93" s="1025"/>
      <c r="N93" s="1132"/>
    </row>
    <row r="94" spans="1:14" s="507" customFormat="1" x14ac:dyDescent="0.2">
      <c r="K94" s="573"/>
    </row>
    <row r="95" spans="1:14" s="507" customFormat="1" hidden="1" x14ac:dyDescent="0.2">
      <c r="K95" s="573"/>
    </row>
    <row r="96" spans="1:14" s="507" customFormat="1" hidden="1" x14ac:dyDescent="0.2">
      <c r="K96" s="573"/>
    </row>
    <row r="97" spans="1:25" s="507" customFormat="1" hidden="1" x14ac:dyDescent="0.2">
      <c r="K97" s="573"/>
    </row>
    <row r="98" spans="1:25" s="507" customFormat="1" hidden="1" x14ac:dyDescent="0.2">
      <c r="K98" s="573"/>
      <c r="N98" s="344"/>
    </row>
    <row r="99" spans="1:25" s="383" customFormat="1" ht="15.75" hidden="1" x14ac:dyDescent="0.25">
      <c r="A99" s="508"/>
      <c r="B99" s="313" t="s">
        <v>126</v>
      </c>
      <c r="K99" s="449"/>
    </row>
    <row r="100" spans="1:25" hidden="1" x14ac:dyDescent="0.2">
      <c r="B100" s="507"/>
      <c r="C100" s="507"/>
      <c r="D100" s="507"/>
      <c r="E100" s="507"/>
      <c r="F100" s="507"/>
      <c r="G100" s="507"/>
      <c r="H100" s="507"/>
      <c r="I100" s="507"/>
      <c r="J100" s="507"/>
      <c r="K100" s="573"/>
      <c r="L100" s="507"/>
      <c r="M100" s="507"/>
      <c r="N100" s="347"/>
    </row>
    <row r="101" spans="1:25" hidden="1" x14ac:dyDescent="0.2">
      <c r="B101" s="507"/>
      <c r="C101" s="507"/>
      <c r="D101" s="507"/>
      <c r="E101" s="507"/>
      <c r="F101" s="507"/>
      <c r="G101" s="507"/>
      <c r="H101" s="507"/>
      <c r="I101" s="507"/>
      <c r="J101" s="507"/>
      <c r="K101" s="573"/>
      <c r="L101" s="507"/>
      <c r="M101" s="507"/>
      <c r="N101" s="347"/>
    </row>
    <row r="102" spans="1:25" ht="18" hidden="1" x14ac:dyDescent="0.25">
      <c r="B102" s="384" t="s">
        <v>276</v>
      </c>
      <c r="C102" s="384"/>
      <c r="D102" s="384"/>
      <c r="E102" s="384"/>
      <c r="F102" s="384"/>
      <c r="G102" s="384"/>
      <c r="H102" s="384"/>
      <c r="I102" s="384"/>
      <c r="J102" s="384"/>
      <c r="K102" s="384"/>
      <c r="L102" s="384"/>
      <c r="M102" s="384"/>
      <c r="N102" s="347"/>
    </row>
    <row r="103" spans="1:25" hidden="1" x14ac:dyDescent="0.2">
      <c r="B103" s="507"/>
      <c r="C103" s="507"/>
      <c r="D103" s="507"/>
      <c r="E103" s="507"/>
      <c r="F103" s="507"/>
      <c r="G103" s="507"/>
      <c r="H103" s="507"/>
      <c r="I103" s="507"/>
      <c r="J103" s="507"/>
      <c r="K103" s="573"/>
      <c r="L103" s="507"/>
      <c r="M103" s="507"/>
      <c r="N103" s="347"/>
    </row>
    <row r="104" spans="1:25" ht="47.25" hidden="1" x14ac:dyDescent="0.2">
      <c r="B104" s="385" t="s">
        <v>273</v>
      </c>
      <c r="C104" s="386"/>
      <c r="D104" s="579" t="s">
        <v>553</v>
      </c>
      <c r="E104" s="580" t="s">
        <v>706</v>
      </c>
      <c r="F104" s="580" t="s">
        <v>707</v>
      </c>
      <c r="G104" s="580" t="s">
        <v>708</v>
      </c>
      <c r="H104" s="591" t="s">
        <v>709</v>
      </c>
      <c r="I104" s="591" t="s">
        <v>710</v>
      </c>
      <c r="J104" s="507"/>
      <c r="K104" s="507"/>
      <c r="L104" s="609"/>
      <c r="M104" s="507"/>
      <c r="N104" s="507"/>
      <c r="X104" s="161"/>
      <c r="Y104" s="161"/>
    </row>
    <row r="105" spans="1:25" hidden="1" x14ac:dyDescent="0.2">
      <c r="B105" s="592" t="s">
        <v>12</v>
      </c>
      <c r="C105" s="387"/>
      <c r="D105" s="578">
        <v>1.2</v>
      </c>
      <c r="E105" s="388">
        <f>(SUM(D17:E17))*$D$105</f>
        <v>0</v>
      </c>
      <c r="F105" s="388">
        <f t="shared" ref="F105:F112" si="1">(SUM(F17:G17))*D105</f>
        <v>0</v>
      </c>
      <c r="G105" s="388">
        <f t="shared" ref="G105:G112" si="2">(SUM(H17:I17))*D105</f>
        <v>0</v>
      </c>
      <c r="H105" s="388">
        <f t="shared" ref="H105:H112" si="3">(SUM(J17:K17))*D105</f>
        <v>0</v>
      </c>
      <c r="I105" s="388">
        <f t="shared" ref="I105:I112" si="4">(SUM(L17:M17))*D105</f>
        <v>0</v>
      </c>
      <c r="J105" s="507"/>
      <c r="K105" s="507"/>
      <c r="L105" s="611" t="s">
        <v>515</v>
      </c>
      <c r="M105" s="507"/>
      <c r="N105" s="507"/>
      <c r="X105" s="161"/>
      <c r="Y105" s="161"/>
    </row>
    <row r="106" spans="1:25" hidden="1" x14ac:dyDescent="0.2">
      <c r="B106" s="592" t="s">
        <v>253</v>
      </c>
      <c r="C106" s="387"/>
      <c r="D106" s="578">
        <v>1.6</v>
      </c>
      <c r="E106" s="388">
        <f>(SUM(D18:E18))*$D$106</f>
        <v>0</v>
      </c>
      <c r="F106" s="388">
        <f t="shared" si="1"/>
        <v>0</v>
      </c>
      <c r="G106" s="388">
        <f t="shared" si="2"/>
        <v>0</v>
      </c>
      <c r="H106" s="388">
        <f t="shared" si="3"/>
        <v>0</v>
      </c>
      <c r="I106" s="388">
        <f t="shared" si="4"/>
        <v>0</v>
      </c>
      <c r="J106" s="507"/>
      <c r="K106" s="507"/>
      <c r="L106" s="610" t="s">
        <v>516</v>
      </c>
      <c r="M106" s="507"/>
      <c r="N106" s="507"/>
      <c r="X106" s="161"/>
      <c r="Y106" s="161"/>
    </row>
    <row r="107" spans="1:25" hidden="1" x14ac:dyDescent="0.2">
      <c r="B107" s="592" t="s">
        <v>258</v>
      </c>
      <c r="C107" s="387"/>
      <c r="D107" s="578">
        <v>1.2</v>
      </c>
      <c r="E107" s="388">
        <f>(SUM(D19:E19))*$D$107</f>
        <v>0</v>
      </c>
      <c r="F107" s="388">
        <f t="shared" si="1"/>
        <v>0</v>
      </c>
      <c r="G107" s="388">
        <f t="shared" si="2"/>
        <v>0</v>
      </c>
      <c r="H107" s="388">
        <f t="shared" si="3"/>
        <v>0</v>
      </c>
      <c r="I107" s="388">
        <f t="shared" si="4"/>
        <v>0</v>
      </c>
      <c r="J107" s="507"/>
      <c r="K107" s="507"/>
      <c r="L107" s="610"/>
      <c r="M107" s="507"/>
      <c r="N107" s="507"/>
      <c r="X107" s="161"/>
      <c r="Y107" s="161"/>
    </row>
    <row r="108" spans="1:25" hidden="1" x14ac:dyDescent="0.2">
      <c r="B108" s="592" t="s">
        <v>254</v>
      </c>
      <c r="C108" s="387"/>
      <c r="D108" s="578">
        <v>0.8</v>
      </c>
      <c r="E108" s="388">
        <f>(SUM(D20:E20))*$D$108</f>
        <v>0</v>
      </c>
      <c r="F108" s="388">
        <f t="shared" si="1"/>
        <v>0</v>
      </c>
      <c r="G108" s="388">
        <f t="shared" si="2"/>
        <v>0</v>
      </c>
      <c r="H108" s="388">
        <f t="shared" si="3"/>
        <v>0</v>
      </c>
      <c r="I108" s="388">
        <f t="shared" si="4"/>
        <v>0</v>
      </c>
      <c r="J108" s="507"/>
      <c r="K108" s="507"/>
      <c r="L108" s="523"/>
      <c r="M108" s="507"/>
      <c r="N108" s="507"/>
      <c r="X108" s="161"/>
      <c r="Y108" s="161"/>
    </row>
    <row r="109" spans="1:25" hidden="1" x14ac:dyDescent="0.2">
      <c r="B109" s="592" t="s">
        <v>255</v>
      </c>
      <c r="C109" s="387"/>
      <c r="D109" s="389">
        <v>1</v>
      </c>
      <c r="E109" s="388">
        <f>(SUM(D21:E21))*$D$109</f>
        <v>0</v>
      </c>
      <c r="F109" s="388">
        <f t="shared" si="1"/>
        <v>0</v>
      </c>
      <c r="G109" s="388">
        <f t="shared" si="2"/>
        <v>0</v>
      </c>
      <c r="H109" s="388">
        <f t="shared" si="3"/>
        <v>0</v>
      </c>
      <c r="I109" s="388">
        <f t="shared" si="4"/>
        <v>0</v>
      </c>
      <c r="J109" s="507"/>
      <c r="K109" s="507"/>
      <c r="L109" s="523"/>
      <c r="M109" s="507"/>
      <c r="N109" s="507"/>
      <c r="X109" s="161"/>
      <c r="Y109" s="161"/>
    </row>
    <row r="110" spans="1:25" hidden="1" x14ac:dyDescent="0.2">
      <c r="B110" s="592" t="s">
        <v>256</v>
      </c>
      <c r="C110" s="387"/>
      <c r="D110" s="578">
        <v>0.8</v>
      </c>
      <c r="E110" s="388">
        <f>(SUM(D22:E22))*$D$110</f>
        <v>0</v>
      </c>
      <c r="F110" s="388">
        <f t="shared" si="1"/>
        <v>0</v>
      </c>
      <c r="G110" s="388">
        <f t="shared" si="2"/>
        <v>0</v>
      </c>
      <c r="H110" s="388">
        <f t="shared" si="3"/>
        <v>0</v>
      </c>
      <c r="I110" s="388">
        <f t="shared" si="4"/>
        <v>0</v>
      </c>
      <c r="J110" s="507"/>
      <c r="K110" s="507"/>
      <c r="L110" s="523"/>
      <c r="M110" s="507"/>
      <c r="N110" s="507"/>
      <c r="X110" s="161"/>
      <c r="Y110" s="161"/>
    </row>
    <row r="111" spans="1:25" hidden="1" x14ac:dyDescent="0.2">
      <c r="B111" s="592" t="s">
        <v>257</v>
      </c>
      <c r="C111" s="387"/>
      <c r="D111" s="578">
        <v>0.6</v>
      </c>
      <c r="E111" s="388">
        <f>(SUM(D23:E23))*$D$111</f>
        <v>0</v>
      </c>
      <c r="F111" s="388">
        <f t="shared" si="1"/>
        <v>0</v>
      </c>
      <c r="G111" s="388">
        <f t="shared" si="2"/>
        <v>0</v>
      </c>
      <c r="H111" s="388">
        <f t="shared" si="3"/>
        <v>0</v>
      </c>
      <c r="I111" s="388">
        <f t="shared" si="4"/>
        <v>0</v>
      </c>
      <c r="J111" s="507"/>
      <c r="K111" s="507"/>
      <c r="L111" s="523"/>
      <c r="M111" s="507"/>
      <c r="N111" s="507"/>
      <c r="X111" s="161"/>
      <c r="Y111" s="161"/>
    </row>
    <row r="112" spans="1:25" hidden="1" x14ac:dyDescent="0.2">
      <c r="B112" s="592" t="s">
        <v>245</v>
      </c>
      <c r="C112" s="387"/>
      <c r="D112" s="578">
        <v>0.6</v>
      </c>
      <c r="E112" s="388">
        <f>(SUM(D24:E24))*$D$112</f>
        <v>0</v>
      </c>
      <c r="F112" s="388">
        <f t="shared" si="1"/>
        <v>0</v>
      </c>
      <c r="G112" s="388">
        <f t="shared" si="2"/>
        <v>0</v>
      </c>
      <c r="H112" s="388">
        <f t="shared" si="3"/>
        <v>0</v>
      </c>
      <c r="I112" s="388">
        <f t="shared" si="4"/>
        <v>0</v>
      </c>
      <c r="J112" s="507"/>
      <c r="K112" s="507"/>
      <c r="L112" s="523"/>
      <c r="M112" s="507"/>
      <c r="N112" s="507"/>
      <c r="X112" s="161"/>
      <c r="Y112" s="161"/>
    </row>
    <row r="113" spans="2:25" ht="15.75" hidden="1" thickBot="1" x14ac:dyDescent="0.25">
      <c r="B113" s="592" t="s">
        <v>44</v>
      </c>
      <c r="C113" s="387"/>
      <c r="D113" s="578">
        <v>21.2</v>
      </c>
      <c r="E113" s="388">
        <f>SUM(D25:E25)*$D$113</f>
        <v>0</v>
      </c>
      <c r="F113" s="388">
        <f>SUM(F25:G25)*D113</f>
        <v>0</v>
      </c>
      <c r="G113" s="388">
        <f>SUM(H25:I25)*D113</f>
        <v>0</v>
      </c>
      <c r="H113" s="388">
        <f>SUM(J25:K25)*D113</f>
        <v>0</v>
      </c>
      <c r="I113" s="388">
        <f>SUM(L25:M25)*D113</f>
        <v>0</v>
      </c>
      <c r="J113" s="507"/>
      <c r="K113" s="507"/>
      <c r="L113" s="523"/>
      <c r="M113" s="507"/>
      <c r="N113" s="507"/>
      <c r="X113" s="161"/>
      <c r="Y113" s="161"/>
    </row>
    <row r="114" spans="2:25" ht="15.75" hidden="1" thickBot="1" x14ac:dyDescent="0.25">
      <c r="B114" s="507"/>
      <c r="C114" s="507"/>
      <c r="D114" s="390" t="s">
        <v>283</v>
      </c>
      <c r="E114" s="558">
        <f>SUM(E105:E113)</f>
        <v>0</v>
      </c>
      <c r="F114" s="558">
        <f t="shared" ref="F114:I114" si="5">SUM(F105:F113)</f>
        <v>0</v>
      </c>
      <c r="G114" s="558">
        <f t="shared" si="5"/>
        <v>0</v>
      </c>
      <c r="H114" s="558">
        <f t="shared" si="5"/>
        <v>0</v>
      </c>
      <c r="I114" s="558">
        <f t="shared" si="5"/>
        <v>0</v>
      </c>
      <c r="J114" s="507"/>
      <c r="K114" s="507"/>
      <c r="L114" s="523"/>
      <c r="M114" s="507"/>
      <c r="N114" s="507"/>
      <c r="X114" s="161"/>
      <c r="Y114" s="161"/>
    </row>
    <row r="115" spans="2:25" hidden="1" x14ac:dyDescent="0.2">
      <c r="B115" s="507"/>
      <c r="C115" s="507"/>
      <c r="D115" s="507"/>
      <c r="E115" s="507"/>
      <c r="F115" s="507"/>
      <c r="G115" s="507"/>
      <c r="H115" s="507"/>
      <c r="I115" s="507"/>
      <c r="J115" s="507"/>
      <c r="K115" s="573"/>
      <c r="L115" s="507"/>
      <c r="M115" s="507"/>
      <c r="N115" s="523"/>
    </row>
    <row r="116" spans="2:25" hidden="1" x14ac:dyDescent="0.2">
      <c r="B116" s="507"/>
      <c r="C116" s="507"/>
      <c r="D116" s="507"/>
      <c r="E116" s="507"/>
      <c r="F116" s="507"/>
      <c r="G116" s="507"/>
      <c r="H116" s="507"/>
      <c r="I116" s="507"/>
      <c r="J116" s="507"/>
      <c r="K116" s="573"/>
      <c r="L116" s="507"/>
      <c r="M116" s="507"/>
      <c r="N116" s="507"/>
    </row>
    <row r="117" spans="2:25" hidden="1" x14ac:dyDescent="0.2">
      <c r="B117" s="507"/>
      <c r="C117" s="507"/>
      <c r="D117" s="507"/>
      <c r="E117" s="507"/>
      <c r="F117" s="507"/>
      <c r="G117" s="507"/>
      <c r="H117" s="507"/>
      <c r="I117" s="507"/>
      <c r="J117" s="507"/>
      <c r="K117" s="573"/>
      <c r="L117" s="507"/>
      <c r="M117" s="507"/>
      <c r="N117" s="507"/>
    </row>
    <row r="118" spans="2:25" hidden="1" x14ac:dyDescent="0.2">
      <c r="B118" s="507"/>
      <c r="C118" s="507"/>
      <c r="D118" s="507"/>
      <c r="E118" s="507"/>
      <c r="F118" s="507"/>
      <c r="G118" s="1096" t="s">
        <v>418</v>
      </c>
      <c r="H118" s="1096"/>
      <c r="I118" s="1096"/>
      <c r="J118" s="1096"/>
      <c r="K118" s="1096"/>
      <c r="L118" s="1096"/>
      <c r="M118" s="1096"/>
    </row>
    <row r="119" spans="2:25" ht="15.75" hidden="1" thickBot="1" x14ac:dyDescent="0.25">
      <c r="B119" s="507"/>
      <c r="C119" s="507"/>
      <c r="D119" s="507"/>
      <c r="E119" s="507"/>
      <c r="F119" s="507"/>
      <c r="G119" s="1096"/>
      <c r="H119" s="1096"/>
      <c r="I119" s="1096"/>
      <c r="J119" s="1096"/>
      <c r="K119" s="1096"/>
      <c r="L119" s="1096"/>
      <c r="M119" s="1096"/>
    </row>
    <row r="120" spans="2:25" ht="48" hidden="1" x14ac:dyDescent="0.2">
      <c r="B120" s="605" t="s">
        <v>215</v>
      </c>
      <c r="C120" s="606"/>
      <c r="D120" s="606"/>
      <c r="E120" s="607"/>
      <c r="F120" s="507"/>
      <c r="G120" s="586" t="s">
        <v>323</v>
      </c>
      <c r="H120" s="392" t="s">
        <v>419</v>
      </c>
      <c r="I120" s="288" t="s">
        <v>175</v>
      </c>
      <c r="J120" s="392" t="s">
        <v>420</v>
      </c>
      <c r="K120" s="288" t="s">
        <v>175</v>
      </c>
      <c r="L120" s="392" t="s">
        <v>421</v>
      </c>
      <c r="M120" s="288" t="s">
        <v>175</v>
      </c>
    </row>
    <row r="121" spans="2:25" hidden="1" x14ac:dyDescent="0.2">
      <c r="B121" s="599" t="s">
        <v>207</v>
      </c>
      <c r="C121" s="586" t="s">
        <v>217</v>
      </c>
      <c r="D121" s="898" t="s">
        <v>54</v>
      </c>
      <c r="E121" s="902"/>
      <c r="F121" s="507"/>
      <c r="G121" s="393">
        <f>(1000/I121)-10</f>
        <v>16.315789473684209</v>
      </c>
      <c r="H121" s="394">
        <f>('SITE DATA'!$F$26-(0.2*G121))^2/('SITE DATA'!$F$26+(0.8*G121))</f>
        <v>0.8157894736842104</v>
      </c>
      <c r="I121" s="395">
        <v>38</v>
      </c>
      <c r="J121" s="394">
        <f>('SITE DATA'!$F$27-(0.2*G121))^2/('SITE DATA'!$F$27+(0.8*G121))</f>
        <v>0.8157894736842104</v>
      </c>
      <c r="K121" s="395">
        <v>38</v>
      </c>
      <c r="L121" s="394">
        <f>('SITE DATA'!$F$28-(0.2*G121))^2/('SITE DATA'!$F$28+(0.8*G121))</f>
        <v>0.8157894736842104</v>
      </c>
      <c r="M121" s="395">
        <v>38</v>
      </c>
    </row>
    <row r="122" spans="2:25" hidden="1" x14ac:dyDescent="0.2">
      <c r="B122" s="600" t="s">
        <v>521</v>
      </c>
      <c r="C122" s="598">
        <v>0.35</v>
      </c>
      <c r="D122" s="1094">
        <v>0.85</v>
      </c>
      <c r="E122" s="1095"/>
      <c r="F122" s="507"/>
      <c r="G122" s="393">
        <f>(1000/I122)-10</f>
        <v>15.641025641025642</v>
      </c>
      <c r="H122" s="394">
        <f>('SITE DATA'!$F$26-(0.2*G122))^2/('SITE DATA'!$F$26+(0.8*G122))</f>
        <v>0.78205128205128227</v>
      </c>
      <c r="I122" s="395">
        <v>39</v>
      </c>
      <c r="J122" s="394">
        <f>('SITE DATA'!$F$27-(0.2*G122))^2/('SITE DATA'!$F$27+(0.8*G122))</f>
        <v>0.78205128205128227</v>
      </c>
      <c r="K122" s="395">
        <v>39</v>
      </c>
      <c r="L122" s="394">
        <f>('SITE DATA'!$F$28-(0.2*G122))^2/('SITE DATA'!$F$28+(0.8*G122))</f>
        <v>0.78205128205128227</v>
      </c>
      <c r="M122" s="395">
        <v>39</v>
      </c>
    </row>
    <row r="123" spans="2:25" hidden="1" x14ac:dyDescent="0.2">
      <c r="B123" s="600" t="s">
        <v>520</v>
      </c>
      <c r="C123" s="598">
        <v>0.4</v>
      </c>
      <c r="D123" s="1094">
        <v>0.85</v>
      </c>
      <c r="E123" s="1095"/>
      <c r="F123" s="507"/>
      <c r="G123" s="393">
        <f>(1000/I123)-10</f>
        <v>15</v>
      </c>
      <c r="H123" s="394">
        <f>('SITE DATA'!$F$26-(0.2*G123))^2/('SITE DATA'!$F$26+(0.8*G123))</f>
        <v>0.75</v>
      </c>
      <c r="I123" s="395">
        <v>40</v>
      </c>
      <c r="J123" s="394">
        <f>('SITE DATA'!$F$27-(0.2*G123))^2/('SITE DATA'!$F$27+(0.8*G123))</f>
        <v>0.75</v>
      </c>
      <c r="K123" s="395">
        <v>40</v>
      </c>
      <c r="L123" s="394">
        <f>('SITE DATA'!$F$28-(0.2*G123))^2/('SITE DATA'!$F$28+(0.8*G123))</f>
        <v>0.75</v>
      </c>
      <c r="M123" s="395">
        <v>40</v>
      </c>
    </row>
    <row r="124" spans="2:25" hidden="1" x14ac:dyDescent="0.2">
      <c r="B124" s="601" t="s">
        <v>208</v>
      </c>
      <c r="C124" s="598">
        <v>0.4</v>
      </c>
      <c r="D124" s="1094">
        <v>0.85</v>
      </c>
      <c r="E124" s="1095"/>
      <c r="F124" s="507"/>
      <c r="G124" s="393">
        <f>(1000/I124)-10</f>
        <v>14.390243902439025</v>
      </c>
      <c r="H124" s="394">
        <f>('SITE DATA'!$F$26-(0.2*G124))^2/('SITE DATA'!$F$26+(0.8*G124))</f>
        <v>0.71951219512195141</v>
      </c>
      <c r="I124" s="395">
        <v>41</v>
      </c>
      <c r="J124" s="394">
        <f>('SITE DATA'!$F$27-(0.2*G124))^2/('SITE DATA'!$F$27+(0.8*G124))</f>
        <v>0.71951219512195141</v>
      </c>
      <c r="K124" s="395">
        <v>41</v>
      </c>
      <c r="L124" s="394">
        <f>('SITE DATA'!$F$28-(0.2*G124))^2/('SITE DATA'!$F$28+(0.8*G124))</f>
        <v>0.71951219512195141</v>
      </c>
      <c r="M124" s="395">
        <v>41</v>
      </c>
    </row>
    <row r="125" spans="2:25" hidden="1" x14ac:dyDescent="0.2">
      <c r="B125" s="601" t="s">
        <v>51</v>
      </c>
      <c r="C125" s="598">
        <v>0.25</v>
      </c>
      <c r="D125" s="1094">
        <v>0.85</v>
      </c>
      <c r="E125" s="1095"/>
      <c r="F125" s="507"/>
      <c r="G125" s="393">
        <f>(1000/I125)-10</f>
        <v>13.80952380952381</v>
      </c>
      <c r="H125" s="394">
        <f>('SITE DATA'!$F$26-(0.2*G125))^2/('SITE DATA'!$F$26+(0.8*G125))</f>
        <v>0.69047619047619058</v>
      </c>
      <c r="I125" s="395">
        <v>42</v>
      </c>
      <c r="J125" s="394">
        <f>('SITE DATA'!$F$27-(0.2*G125))^2/('SITE DATA'!$F$27+(0.8*G125))</f>
        <v>0.69047619047619058</v>
      </c>
      <c r="K125" s="395">
        <v>42</v>
      </c>
      <c r="L125" s="394">
        <f>('SITE DATA'!$F$28-(0.2*G125))^2/('SITE DATA'!$F$28+(0.8*G125))</f>
        <v>0.69047619047619058</v>
      </c>
      <c r="M125" s="395">
        <v>42</v>
      </c>
    </row>
    <row r="126" spans="2:25" hidden="1" x14ac:dyDescent="0.2">
      <c r="B126" s="601" t="s">
        <v>209</v>
      </c>
      <c r="C126" s="598">
        <v>0.35</v>
      </c>
      <c r="D126" s="1094">
        <v>0.85</v>
      </c>
      <c r="E126" s="1095"/>
      <c r="F126" s="507"/>
      <c r="G126" s="393">
        <f t="shared" ref="G126:G181" si="6">(1000/I126)-10</f>
        <v>13.255813953488371</v>
      </c>
      <c r="H126" s="394">
        <f>('SITE DATA'!$F$26-(0.2*G126))^2/('SITE DATA'!$F$26+(0.8*G126))</f>
        <v>0.66279069767441856</v>
      </c>
      <c r="I126" s="395">
        <v>43</v>
      </c>
      <c r="J126" s="394">
        <f>('SITE DATA'!$F$27-(0.2*G126))^2/('SITE DATA'!$F$27+(0.8*G126))</f>
        <v>0.66279069767441856</v>
      </c>
      <c r="K126" s="395">
        <v>43</v>
      </c>
      <c r="L126" s="394">
        <f>('SITE DATA'!$F$28-(0.2*G126))^2/('SITE DATA'!$F$28+(0.8*G126))</f>
        <v>0.66279069767441856</v>
      </c>
      <c r="M126" s="395">
        <v>43</v>
      </c>
    </row>
    <row r="127" spans="2:25" hidden="1" x14ac:dyDescent="0.2">
      <c r="B127" s="601" t="s">
        <v>210</v>
      </c>
      <c r="C127" s="598">
        <v>0.2</v>
      </c>
      <c r="D127" s="1094">
        <v>0.35</v>
      </c>
      <c r="E127" s="1095"/>
      <c r="F127" s="507"/>
      <c r="G127" s="393">
        <f t="shared" si="6"/>
        <v>12.727272727272727</v>
      </c>
      <c r="H127" s="394">
        <f>('SITE DATA'!$F$26-(0.2*G127))^2/('SITE DATA'!$F$26+(0.8*G127))</f>
        <v>0.63636363636363635</v>
      </c>
      <c r="I127" s="395">
        <v>44</v>
      </c>
      <c r="J127" s="394">
        <f>('SITE DATA'!$F$27-(0.2*G127))^2/('SITE DATA'!$F$27+(0.8*G127))</f>
        <v>0.63636363636363635</v>
      </c>
      <c r="K127" s="395">
        <v>44</v>
      </c>
      <c r="L127" s="394">
        <f>('SITE DATA'!$F$28-(0.2*G127))^2/('SITE DATA'!$F$28+(0.8*G127))</f>
        <v>0.63636363636363635</v>
      </c>
      <c r="M127" s="395">
        <v>44</v>
      </c>
    </row>
    <row r="128" spans="2:25" hidden="1" x14ac:dyDescent="0.2">
      <c r="B128" s="601" t="s">
        <v>52</v>
      </c>
      <c r="C128" s="598">
        <v>0.2</v>
      </c>
      <c r="D128" s="1094">
        <v>0.35</v>
      </c>
      <c r="E128" s="1095"/>
      <c r="F128" s="507"/>
      <c r="G128" s="393">
        <f t="shared" si="6"/>
        <v>12.222222222222221</v>
      </c>
      <c r="H128" s="394">
        <f>('SITE DATA'!$F$26-(0.2*G128))^2/('SITE DATA'!$F$26+(0.8*G128))</f>
        <v>0.61111111111111116</v>
      </c>
      <c r="I128" s="395">
        <v>45</v>
      </c>
      <c r="J128" s="394">
        <f>('SITE DATA'!$F$27-(0.2*G128))^2/('SITE DATA'!$F$27+(0.8*G128))</f>
        <v>0.61111111111111116</v>
      </c>
      <c r="K128" s="395">
        <v>45</v>
      </c>
      <c r="L128" s="394">
        <f>('SITE DATA'!$F$28-(0.2*G128))^2/('SITE DATA'!$F$28+(0.8*G128))</f>
        <v>0.61111111111111116</v>
      </c>
      <c r="M128" s="395">
        <v>45</v>
      </c>
    </row>
    <row r="129" spans="2:13" hidden="1" x14ac:dyDescent="0.2">
      <c r="B129" s="601" t="s">
        <v>211</v>
      </c>
      <c r="C129" s="598">
        <v>0.3</v>
      </c>
      <c r="D129" s="1094">
        <v>0.6</v>
      </c>
      <c r="E129" s="1095"/>
      <c r="F129" s="507"/>
      <c r="G129" s="393">
        <f t="shared" si="6"/>
        <v>11.739130434782609</v>
      </c>
      <c r="H129" s="394">
        <f>('SITE DATA'!$F$26-(0.2*G129))^2/('SITE DATA'!$F$26+(0.8*G129))</f>
        <v>0.58695652173913049</v>
      </c>
      <c r="I129" s="395">
        <v>46</v>
      </c>
      <c r="J129" s="394">
        <f>('SITE DATA'!$F$27-(0.2*G129))^2/('SITE DATA'!$F$27+(0.8*G129))</f>
        <v>0.58695652173913049</v>
      </c>
      <c r="K129" s="395">
        <v>46</v>
      </c>
      <c r="L129" s="394">
        <f>('SITE DATA'!$F$28-(0.2*G129))^2/('SITE DATA'!$F$28+(0.8*G129))</f>
        <v>0.58695652173913049</v>
      </c>
      <c r="M129" s="395">
        <v>46</v>
      </c>
    </row>
    <row r="130" spans="2:13" hidden="1" x14ac:dyDescent="0.2">
      <c r="B130" s="601" t="s">
        <v>212</v>
      </c>
      <c r="C130" s="598">
        <v>0.3</v>
      </c>
      <c r="D130" s="1094">
        <v>0.85</v>
      </c>
      <c r="E130" s="1095"/>
      <c r="F130" s="507"/>
      <c r="G130" s="393">
        <f t="shared" si="6"/>
        <v>11.276595744680851</v>
      </c>
      <c r="H130" s="394">
        <f>('SITE DATA'!$F$26-(0.2*G130))^2/('SITE DATA'!$F$26+(0.8*G130))</f>
        <v>0.56382978723404253</v>
      </c>
      <c r="I130" s="395">
        <v>47</v>
      </c>
      <c r="J130" s="394">
        <f>('SITE DATA'!$F$27-(0.2*G130))^2/('SITE DATA'!$F$27+(0.8*G130))</f>
        <v>0.56382978723404253</v>
      </c>
      <c r="K130" s="395">
        <v>47</v>
      </c>
      <c r="L130" s="394">
        <f>('SITE DATA'!$F$28-(0.2*G130))^2/('SITE DATA'!$F$28+(0.8*G130))</f>
        <v>0.56382978723404253</v>
      </c>
      <c r="M130" s="395">
        <v>47</v>
      </c>
    </row>
    <row r="131" spans="2:13" hidden="1" x14ac:dyDescent="0.2">
      <c r="B131" s="601" t="s">
        <v>213</v>
      </c>
      <c r="C131" s="598">
        <v>0.1</v>
      </c>
      <c r="D131" s="1094">
        <v>0.5</v>
      </c>
      <c r="E131" s="1095"/>
      <c r="F131" s="507"/>
      <c r="G131" s="393">
        <f t="shared" si="6"/>
        <v>10.833333333333332</v>
      </c>
      <c r="H131" s="394">
        <f>('SITE DATA'!$F$26-(0.2*G131))^2/('SITE DATA'!$F$26+(0.8*G131))</f>
        <v>0.54166666666666663</v>
      </c>
      <c r="I131" s="395">
        <f>48</f>
        <v>48</v>
      </c>
      <c r="J131" s="394">
        <f>('SITE DATA'!$F$27-(0.2*G131))^2/('SITE DATA'!$F$27+(0.8*G131))</f>
        <v>0.54166666666666663</v>
      </c>
      <c r="K131" s="395">
        <f>48</f>
        <v>48</v>
      </c>
      <c r="L131" s="394">
        <f>('SITE DATA'!$F$28-(0.2*G131))^2/('SITE DATA'!$F$28+(0.8*G131))</f>
        <v>0.54166666666666663</v>
      </c>
      <c r="M131" s="395">
        <f>48</f>
        <v>48</v>
      </c>
    </row>
    <row r="132" spans="2:13" hidden="1" x14ac:dyDescent="0.2">
      <c r="B132" s="601" t="s">
        <v>53</v>
      </c>
      <c r="C132" s="598">
        <v>0</v>
      </c>
      <c r="D132" s="1094">
        <v>0</v>
      </c>
      <c r="E132" s="1095"/>
      <c r="F132" s="507"/>
      <c r="G132" s="393">
        <f t="shared" si="6"/>
        <v>10.408163265306122</v>
      </c>
      <c r="H132" s="394">
        <f>('SITE DATA'!$F$26-(0.2*G132))^2/('SITE DATA'!$F$26+(0.8*G132))</f>
        <v>0.52040816326530615</v>
      </c>
      <c r="I132" s="395">
        <f t="shared" ref="I132:I181" si="7">I131+1</f>
        <v>49</v>
      </c>
      <c r="J132" s="394">
        <f>('SITE DATA'!$F$27-(0.2*G132))^2/('SITE DATA'!$F$27+(0.8*G132))</f>
        <v>0.52040816326530615</v>
      </c>
      <c r="K132" s="395">
        <f t="shared" ref="K132:K181" si="8">K131+1</f>
        <v>49</v>
      </c>
      <c r="L132" s="394">
        <f>('SITE DATA'!$F$28-(0.2*G132))^2/('SITE DATA'!$F$28+(0.8*G132))</f>
        <v>0.52040816326530615</v>
      </c>
      <c r="M132" s="395">
        <f t="shared" ref="M132:M181" si="9">M131+1</f>
        <v>49</v>
      </c>
    </row>
    <row r="133" spans="2:13" hidden="1" x14ac:dyDescent="0.2">
      <c r="B133" s="601" t="s">
        <v>579</v>
      </c>
      <c r="C133" s="598">
        <v>0</v>
      </c>
      <c r="D133" s="1094">
        <v>0</v>
      </c>
      <c r="E133" s="1095"/>
      <c r="F133" s="507"/>
      <c r="G133" s="393">
        <f>(1000/I133)-10</f>
        <v>10</v>
      </c>
      <c r="H133" s="394">
        <f>('SITE DATA'!$F$26-(0.2*G133))^2/('SITE DATA'!$F$26+(0.8*G133))</f>
        <v>0.5</v>
      </c>
      <c r="I133" s="395">
        <f t="shared" si="7"/>
        <v>50</v>
      </c>
      <c r="J133" s="394">
        <f>('SITE DATA'!$F$27-(0.2*G133))^2/('SITE DATA'!$F$27+(0.8*G133))</f>
        <v>0.5</v>
      </c>
      <c r="K133" s="395">
        <f t="shared" si="8"/>
        <v>50</v>
      </c>
      <c r="L133" s="394">
        <f>('SITE DATA'!$F$28-(0.2*G133))^2/('SITE DATA'!$F$28+(0.8*G133))</f>
        <v>0.5</v>
      </c>
      <c r="M133" s="395">
        <f t="shared" si="9"/>
        <v>50</v>
      </c>
    </row>
    <row r="134" spans="2:13" ht="15.75" hidden="1" thickBot="1" x14ac:dyDescent="0.25">
      <c r="B134" s="602" t="s">
        <v>564</v>
      </c>
      <c r="C134" s="604">
        <f>IF(C13="Yes",G13,F134)</f>
        <v>1</v>
      </c>
      <c r="D134" s="1036" t="s">
        <v>563</v>
      </c>
      <c r="E134" s="1037"/>
      <c r="F134" s="616">
        <v>1</v>
      </c>
      <c r="G134" s="393">
        <f t="shared" si="6"/>
        <v>9.6078431372549034</v>
      </c>
      <c r="H134" s="394">
        <f>('SITE DATA'!$F$26-(0.2*G134))^2/('SITE DATA'!$F$26+(0.8*G134))</f>
        <v>0.48039215686274517</v>
      </c>
      <c r="I134" s="395">
        <f t="shared" si="7"/>
        <v>51</v>
      </c>
      <c r="J134" s="394">
        <f>('SITE DATA'!$F$27-(0.2*G134))^2/('SITE DATA'!$F$27+(0.8*G134))</f>
        <v>0.48039215686274517</v>
      </c>
      <c r="K134" s="395">
        <f t="shared" si="8"/>
        <v>51</v>
      </c>
      <c r="L134" s="394">
        <f>('SITE DATA'!$F$28-(0.2*G134))^2/('SITE DATA'!$F$28+(0.8*G134))</f>
        <v>0.48039215686274517</v>
      </c>
      <c r="M134" s="395">
        <f t="shared" si="9"/>
        <v>51</v>
      </c>
    </row>
    <row r="135" spans="2:13" hidden="1" x14ac:dyDescent="0.2">
      <c r="B135" s="514"/>
      <c r="C135" s="514"/>
      <c r="D135" s="507"/>
      <c r="E135" s="507"/>
      <c r="F135" s="507"/>
      <c r="G135" s="393">
        <f t="shared" si="6"/>
        <v>9.2307692307692299</v>
      </c>
      <c r="H135" s="394">
        <f>('SITE DATA'!$F$26-(0.2*G135))^2/('SITE DATA'!$F$26+(0.8*G135))</f>
        <v>0.46153846153846151</v>
      </c>
      <c r="I135" s="395">
        <f t="shared" si="7"/>
        <v>52</v>
      </c>
      <c r="J135" s="394">
        <f>('SITE DATA'!$F$27-(0.2*G135))^2/('SITE DATA'!$F$27+(0.8*G135))</f>
        <v>0.46153846153846151</v>
      </c>
      <c r="K135" s="395">
        <f t="shared" si="8"/>
        <v>52</v>
      </c>
      <c r="L135" s="394">
        <f>('SITE DATA'!$F$28-(0.2*G135))^2/('SITE DATA'!$F$28+(0.8*G135))</f>
        <v>0.46153846153846151</v>
      </c>
      <c r="M135" s="395">
        <f t="shared" si="9"/>
        <v>52</v>
      </c>
    </row>
    <row r="136" spans="2:13" hidden="1" x14ac:dyDescent="0.2">
      <c r="B136" s="514"/>
      <c r="C136" s="514"/>
      <c r="D136" s="507"/>
      <c r="E136" s="396"/>
      <c r="F136" s="507"/>
      <c r="G136" s="393">
        <f t="shared" si="6"/>
        <v>8.8679245283018879</v>
      </c>
      <c r="H136" s="394">
        <f>('SITE DATA'!$F$26-(0.2*G136))^2/('SITE DATA'!$F$26+(0.8*G136))</f>
        <v>0.44339622641509441</v>
      </c>
      <c r="I136" s="395">
        <f t="shared" si="7"/>
        <v>53</v>
      </c>
      <c r="J136" s="394">
        <f>('SITE DATA'!$F$27-(0.2*G136))^2/('SITE DATA'!$F$27+(0.8*G136))</f>
        <v>0.44339622641509441</v>
      </c>
      <c r="K136" s="395">
        <f t="shared" si="8"/>
        <v>53</v>
      </c>
      <c r="L136" s="394">
        <f>('SITE DATA'!$F$28-(0.2*G136))^2/('SITE DATA'!$F$28+(0.8*G136))</f>
        <v>0.44339622641509441</v>
      </c>
      <c r="M136" s="395">
        <f t="shared" si="9"/>
        <v>53</v>
      </c>
    </row>
    <row r="137" spans="2:13" hidden="1" x14ac:dyDescent="0.2">
      <c r="B137" s="507"/>
      <c r="C137" s="507"/>
      <c r="D137" s="507"/>
      <c r="E137" s="507"/>
      <c r="F137" s="507"/>
      <c r="G137" s="393">
        <f t="shared" si="6"/>
        <v>8.518518518518519</v>
      </c>
      <c r="H137" s="394">
        <f>('SITE DATA'!$F$26-(0.2*G137))^2/('SITE DATA'!$F$26+(0.8*G137))</f>
        <v>0.42592592592592599</v>
      </c>
      <c r="I137" s="395">
        <f t="shared" si="7"/>
        <v>54</v>
      </c>
      <c r="J137" s="394">
        <f>('SITE DATA'!$F$27-(0.2*G137))^2/('SITE DATA'!$F$27+(0.8*G137))</f>
        <v>0.42592592592592599</v>
      </c>
      <c r="K137" s="395">
        <f t="shared" si="8"/>
        <v>54</v>
      </c>
      <c r="L137" s="394">
        <f>('SITE DATA'!$F$28-(0.2*G137))^2/('SITE DATA'!$F$28+(0.8*G137))</f>
        <v>0.42592592592592599</v>
      </c>
      <c r="M137" s="395">
        <f t="shared" si="9"/>
        <v>54</v>
      </c>
    </row>
    <row r="138" spans="2:13" hidden="1" x14ac:dyDescent="0.2">
      <c r="B138" s="507"/>
      <c r="C138" s="507"/>
      <c r="D138" s="507"/>
      <c r="E138" s="507"/>
      <c r="F138" s="396"/>
      <c r="G138" s="393">
        <f t="shared" si="6"/>
        <v>8.1818181818181834</v>
      </c>
      <c r="H138" s="394">
        <f>('SITE DATA'!$F$26-(0.2*G138))^2/('SITE DATA'!$F$26+(0.8*G138))</f>
        <v>0.40909090909090912</v>
      </c>
      <c r="I138" s="395">
        <f t="shared" si="7"/>
        <v>55</v>
      </c>
      <c r="J138" s="394">
        <f>('SITE DATA'!$F$27-(0.2*G138))^2/('SITE DATA'!$F$27+(0.8*G138))</f>
        <v>0.40909090909090912</v>
      </c>
      <c r="K138" s="395">
        <f t="shared" si="8"/>
        <v>55</v>
      </c>
      <c r="L138" s="394">
        <f>('SITE DATA'!$F$28-(0.2*G138))^2/('SITE DATA'!$F$28+(0.8*G138))</f>
        <v>0.40909090909090912</v>
      </c>
      <c r="M138" s="395">
        <f t="shared" si="9"/>
        <v>55</v>
      </c>
    </row>
    <row r="139" spans="2:13" hidden="1" x14ac:dyDescent="0.2">
      <c r="B139" s="507"/>
      <c r="C139" s="507"/>
      <c r="D139" s="507"/>
      <c r="E139" s="507"/>
      <c r="F139" s="507"/>
      <c r="G139" s="393">
        <f t="shared" si="6"/>
        <v>7.8571428571428577</v>
      </c>
      <c r="H139" s="394">
        <f>('SITE DATA'!$F$26-(0.2*G139))^2/('SITE DATA'!$F$26+(0.8*G139))</f>
        <v>0.3928571428571429</v>
      </c>
      <c r="I139" s="395">
        <f t="shared" si="7"/>
        <v>56</v>
      </c>
      <c r="J139" s="394">
        <f>('SITE DATA'!$F$27-(0.2*G139))^2/('SITE DATA'!$F$27+(0.8*G139))</f>
        <v>0.3928571428571429</v>
      </c>
      <c r="K139" s="395">
        <f t="shared" si="8"/>
        <v>56</v>
      </c>
      <c r="L139" s="394">
        <f>('SITE DATA'!$F$28-(0.2*G139))^2/('SITE DATA'!$F$28+(0.8*G139))</f>
        <v>0.3928571428571429</v>
      </c>
      <c r="M139" s="395">
        <f t="shared" si="9"/>
        <v>56</v>
      </c>
    </row>
    <row r="140" spans="2:13" hidden="1" x14ac:dyDescent="0.2">
      <c r="B140" s="507"/>
      <c r="C140" s="507"/>
      <c r="D140" s="507"/>
      <c r="E140" s="507"/>
      <c r="F140" s="507"/>
      <c r="G140" s="393">
        <f t="shared" si="6"/>
        <v>7.5438596491228083</v>
      </c>
      <c r="H140" s="394">
        <f>('SITE DATA'!$F$26-(0.2*G140))^2/('SITE DATA'!$F$26+(0.8*G140))</f>
        <v>0.37719298245614041</v>
      </c>
      <c r="I140" s="395">
        <f t="shared" si="7"/>
        <v>57</v>
      </c>
      <c r="J140" s="394">
        <f>('SITE DATA'!$F$27-(0.2*G140))^2/('SITE DATA'!$F$27+(0.8*G140))</f>
        <v>0.37719298245614041</v>
      </c>
      <c r="K140" s="395">
        <f t="shared" si="8"/>
        <v>57</v>
      </c>
      <c r="L140" s="394">
        <f>('SITE DATA'!$F$28-(0.2*G140))^2/('SITE DATA'!$F$28+(0.8*G140))</f>
        <v>0.37719298245614041</v>
      </c>
      <c r="M140" s="395">
        <f t="shared" si="9"/>
        <v>57</v>
      </c>
    </row>
    <row r="141" spans="2:13" hidden="1" x14ac:dyDescent="0.2">
      <c r="B141" s="507"/>
      <c r="C141" s="507"/>
      <c r="D141" s="507"/>
      <c r="E141" s="507"/>
      <c r="F141" s="507"/>
      <c r="G141" s="393">
        <f t="shared" si="6"/>
        <v>7.2413793103448292</v>
      </c>
      <c r="H141" s="394">
        <f>('SITE DATA'!$F$26-(0.2*G141))^2/('SITE DATA'!$F$26+(0.8*G141))</f>
        <v>0.36206896551724144</v>
      </c>
      <c r="I141" s="395">
        <f t="shared" si="7"/>
        <v>58</v>
      </c>
      <c r="J141" s="394">
        <f>('SITE DATA'!$F$27-(0.2*G141))^2/('SITE DATA'!$F$27+(0.8*G141))</f>
        <v>0.36206896551724144</v>
      </c>
      <c r="K141" s="395">
        <f t="shared" si="8"/>
        <v>58</v>
      </c>
      <c r="L141" s="394">
        <f>('SITE DATA'!$F$28-(0.2*G141))^2/('SITE DATA'!$F$28+(0.8*G141))</f>
        <v>0.36206896551724144</v>
      </c>
      <c r="M141" s="395">
        <f t="shared" si="9"/>
        <v>58</v>
      </c>
    </row>
    <row r="142" spans="2:13" ht="15.75" hidden="1" thickBot="1" x14ac:dyDescent="0.25">
      <c r="B142" s="507"/>
      <c r="C142" s="507"/>
      <c r="D142" s="507"/>
      <c r="E142" s="507"/>
      <c r="F142" s="507"/>
      <c r="G142" s="393">
        <f t="shared" si="6"/>
        <v>6.9491525423728824</v>
      </c>
      <c r="H142" s="394">
        <f>('SITE DATA'!$F$26-(0.2*G142))^2/('SITE DATA'!$F$26+(0.8*G142))</f>
        <v>0.34745762711864414</v>
      </c>
      <c r="I142" s="395">
        <f t="shared" si="7"/>
        <v>59</v>
      </c>
      <c r="J142" s="394">
        <f>('SITE DATA'!$F$27-(0.2*G142))^2/('SITE DATA'!$F$27+(0.8*G142))</f>
        <v>0.34745762711864414</v>
      </c>
      <c r="K142" s="395">
        <f t="shared" si="8"/>
        <v>59</v>
      </c>
      <c r="L142" s="394">
        <f>('SITE DATA'!$F$28-(0.2*G142))^2/('SITE DATA'!$F$28+(0.8*G142))</f>
        <v>0.34745762711864414</v>
      </c>
      <c r="M142" s="395">
        <f t="shared" si="9"/>
        <v>59</v>
      </c>
    </row>
    <row r="143" spans="2:13" ht="16.5" hidden="1" thickBot="1" x14ac:dyDescent="0.3">
      <c r="B143" s="612" t="s">
        <v>532</v>
      </c>
      <c r="C143" s="543"/>
      <c r="D143" s="544"/>
      <c r="E143" s="507"/>
      <c r="F143" s="507"/>
      <c r="G143" s="393">
        <f t="shared" si="6"/>
        <v>6.6666666666666679</v>
      </c>
      <c r="H143" s="394">
        <f>('SITE DATA'!$F$26-(0.2*G143))^2/('SITE DATA'!$F$26+(0.8*G143))</f>
        <v>0.33333333333333343</v>
      </c>
      <c r="I143" s="395">
        <f t="shared" si="7"/>
        <v>60</v>
      </c>
      <c r="J143" s="394">
        <f>('SITE DATA'!$F$27-(0.2*G143))^2/('SITE DATA'!$F$27+(0.8*G143))</f>
        <v>0.33333333333333343</v>
      </c>
      <c r="K143" s="395">
        <f t="shared" si="8"/>
        <v>60</v>
      </c>
      <c r="L143" s="394">
        <f>('SITE DATA'!$F$28-(0.2*G143))^2/('SITE DATA'!$F$28+(0.8*G143))</f>
        <v>0.33333333333333343</v>
      </c>
      <c r="M143" s="395">
        <f t="shared" si="9"/>
        <v>60</v>
      </c>
    </row>
    <row r="144" spans="2:13" hidden="1" x14ac:dyDescent="0.2">
      <c r="B144" s="530"/>
      <c r="C144" s="512"/>
      <c r="D144" s="522"/>
      <c r="E144" s="507"/>
      <c r="F144" s="507"/>
      <c r="G144" s="393">
        <f t="shared" si="6"/>
        <v>6.3934426229508183</v>
      </c>
      <c r="H144" s="394">
        <f>('SITE DATA'!$F$26-(0.2*G144))^2/('SITE DATA'!$F$26+(0.8*G144))</f>
        <v>0.31967213114754095</v>
      </c>
      <c r="I144" s="395">
        <f t="shared" si="7"/>
        <v>61</v>
      </c>
      <c r="J144" s="394">
        <f>('SITE DATA'!$F$27-(0.2*G144))^2/('SITE DATA'!$F$27+(0.8*G144))</f>
        <v>0.31967213114754095</v>
      </c>
      <c r="K144" s="395">
        <f t="shared" si="8"/>
        <v>61</v>
      </c>
      <c r="L144" s="394">
        <f>('SITE DATA'!$F$28-(0.2*G144))^2/('SITE DATA'!$F$28+(0.8*G144))</f>
        <v>0.31967213114754095</v>
      </c>
      <c r="M144" s="395">
        <f t="shared" si="9"/>
        <v>61</v>
      </c>
    </row>
    <row r="145" spans="2:13" ht="19.5" hidden="1" x14ac:dyDescent="0.35">
      <c r="B145" s="509" t="s">
        <v>534</v>
      </c>
      <c r="C145" s="506"/>
      <c r="D145" s="513"/>
      <c r="E145" s="507"/>
      <c r="F145" s="507"/>
      <c r="G145" s="393">
        <f t="shared" si="6"/>
        <v>6.129032258064516</v>
      </c>
      <c r="H145" s="394">
        <f>('SITE DATA'!$F$26-(0.2*G145))^2/('SITE DATA'!$F$26+(0.8*G145))</f>
        <v>0.30645161290322581</v>
      </c>
      <c r="I145" s="395">
        <f t="shared" si="7"/>
        <v>62</v>
      </c>
      <c r="J145" s="394">
        <f>('SITE DATA'!$F$27-(0.2*G145))^2/('SITE DATA'!$F$27+(0.8*G145))</f>
        <v>0.30645161290322581</v>
      </c>
      <c r="K145" s="395">
        <f t="shared" si="8"/>
        <v>62</v>
      </c>
      <c r="L145" s="394">
        <f>('SITE DATA'!$F$28-(0.2*G145))^2/('SITE DATA'!$F$28+(0.8*G145))</f>
        <v>0.30645161290322581</v>
      </c>
      <c r="M145" s="395">
        <f t="shared" si="9"/>
        <v>62</v>
      </c>
    </row>
    <row r="146" spans="2:13" hidden="1" x14ac:dyDescent="0.2">
      <c r="B146" s="509" t="s">
        <v>535</v>
      </c>
      <c r="C146" s="506"/>
      <c r="D146" s="513"/>
      <c r="E146" s="507"/>
      <c r="F146" s="507"/>
      <c r="G146" s="393">
        <f t="shared" si="6"/>
        <v>5.8730158730158735</v>
      </c>
      <c r="H146" s="394">
        <f>('SITE DATA'!$F$26-(0.2*G146))^2/('SITE DATA'!$F$26+(0.8*G146))</f>
        <v>0.29365079365079366</v>
      </c>
      <c r="I146" s="395">
        <f t="shared" si="7"/>
        <v>63</v>
      </c>
      <c r="J146" s="394">
        <f>('SITE DATA'!$F$27-(0.2*G146))^2/('SITE DATA'!$F$27+(0.8*G146))</f>
        <v>0.29365079365079366</v>
      </c>
      <c r="K146" s="395">
        <f t="shared" si="8"/>
        <v>63</v>
      </c>
      <c r="L146" s="394">
        <f>('SITE DATA'!$F$28-(0.2*G146))^2/('SITE DATA'!$F$28+(0.8*G146))</f>
        <v>0.29365079365079366</v>
      </c>
      <c r="M146" s="395">
        <f t="shared" si="9"/>
        <v>63</v>
      </c>
    </row>
    <row r="147" spans="2:13" hidden="1" x14ac:dyDescent="0.2">
      <c r="B147" s="509" t="s">
        <v>539</v>
      </c>
      <c r="C147" s="506"/>
      <c r="D147" s="513"/>
      <c r="E147" s="507"/>
      <c r="F147" s="507"/>
      <c r="G147" s="393">
        <f t="shared" si="6"/>
        <v>5.625</v>
      </c>
      <c r="H147" s="394">
        <f>('SITE DATA'!$F$26-(0.2*G147))^2/('SITE DATA'!$F$26+(0.8*G147))</f>
        <v>0.28125</v>
      </c>
      <c r="I147" s="395">
        <f t="shared" si="7"/>
        <v>64</v>
      </c>
      <c r="J147" s="394">
        <f>('SITE DATA'!$F$27-(0.2*G147))^2/('SITE DATA'!$F$27+(0.8*G147))</f>
        <v>0.28125</v>
      </c>
      <c r="K147" s="395">
        <f t="shared" si="8"/>
        <v>64</v>
      </c>
      <c r="L147" s="394">
        <f>('SITE DATA'!$F$28-(0.2*G147))^2/('SITE DATA'!$F$28+(0.8*G147))</f>
        <v>0.28125</v>
      </c>
      <c r="M147" s="395">
        <f t="shared" si="9"/>
        <v>64</v>
      </c>
    </row>
    <row r="148" spans="2:13" ht="19.5" hidden="1" x14ac:dyDescent="0.35">
      <c r="B148" s="509" t="s">
        <v>541</v>
      </c>
      <c r="C148" s="506"/>
      <c r="D148" s="513"/>
      <c r="E148" s="507"/>
      <c r="F148" s="507"/>
      <c r="G148" s="393">
        <f t="shared" si="6"/>
        <v>5.384615384615385</v>
      </c>
      <c r="H148" s="394">
        <f>('SITE DATA'!$F$26-(0.2*G148))^2/('SITE DATA'!$F$26+(0.8*G148))</f>
        <v>0.26923076923076927</v>
      </c>
      <c r="I148" s="395">
        <f t="shared" si="7"/>
        <v>65</v>
      </c>
      <c r="J148" s="394">
        <f>('SITE DATA'!$F$27-(0.2*G148))^2/('SITE DATA'!$F$27+(0.8*G148))</f>
        <v>0.26923076923076927</v>
      </c>
      <c r="K148" s="395">
        <f t="shared" si="8"/>
        <v>65</v>
      </c>
      <c r="L148" s="394">
        <f>('SITE DATA'!$F$28-(0.2*G148))^2/('SITE DATA'!$F$28+(0.8*G148))</f>
        <v>0.26923076923076927</v>
      </c>
      <c r="M148" s="395">
        <f t="shared" si="9"/>
        <v>65</v>
      </c>
    </row>
    <row r="149" spans="2:13" hidden="1" x14ac:dyDescent="0.2">
      <c r="B149" s="538"/>
      <c r="C149" s="511" t="s">
        <v>543</v>
      </c>
      <c r="D149" s="613" t="e">
        <f>(SUM(D25:E25))/SUM(D17:M25)</f>
        <v>#DIV/0!</v>
      </c>
      <c r="E149" s="507"/>
      <c r="F149" s="507"/>
      <c r="G149" s="393">
        <f t="shared" si="6"/>
        <v>5.1515151515151523</v>
      </c>
      <c r="H149" s="394">
        <f>('SITE DATA'!$F$26-(0.2*G149))^2/('SITE DATA'!$F$26+(0.8*G149))</f>
        <v>0.25757575757575762</v>
      </c>
      <c r="I149" s="395">
        <f t="shared" si="7"/>
        <v>66</v>
      </c>
      <c r="J149" s="394">
        <f>('SITE DATA'!$F$27-(0.2*G149))^2/('SITE DATA'!$F$27+(0.8*G149))</f>
        <v>0.25757575757575762</v>
      </c>
      <c r="K149" s="395">
        <f t="shared" si="8"/>
        <v>66</v>
      </c>
      <c r="L149" s="394">
        <f>('SITE DATA'!$F$28-(0.2*G149))^2/('SITE DATA'!$F$28+(0.8*G149))</f>
        <v>0.25757575757575762</v>
      </c>
      <c r="M149" s="395">
        <f t="shared" si="9"/>
        <v>66</v>
      </c>
    </row>
    <row r="150" spans="2:13" ht="24" hidden="1" thickBot="1" x14ac:dyDescent="0.4">
      <c r="B150" s="540" t="s">
        <v>569</v>
      </c>
      <c r="C150" s="511" t="s">
        <v>547</v>
      </c>
      <c r="D150" s="539" t="e">
        <f>0.05+(0.9*D149)</f>
        <v>#DIV/0!</v>
      </c>
      <c r="E150" s="507" t="s">
        <v>726</v>
      </c>
      <c r="F150" s="507"/>
      <c r="G150" s="393">
        <f t="shared" si="6"/>
        <v>4.9253731343283587</v>
      </c>
      <c r="H150" s="394">
        <f>('SITE DATA'!$F$26-(0.2*G150))^2/('SITE DATA'!$F$26+(0.8*G150))</f>
        <v>0.24626865671641796</v>
      </c>
      <c r="I150" s="395">
        <f t="shared" si="7"/>
        <v>67</v>
      </c>
      <c r="J150" s="394">
        <f>('SITE DATA'!$F$27-(0.2*G150))^2/('SITE DATA'!$F$27+(0.8*G150))</f>
        <v>0.24626865671641796</v>
      </c>
      <c r="K150" s="395">
        <f t="shared" si="8"/>
        <v>67</v>
      </c>
      <c r="L150" s="394">
        <f>('SITE DATA'!$F$28-(0.2*G150))^2/('SITE DATA'!$F$28+(0.8*G150))</f>
        <v>0.24626865671641796</v>
      </c>
      <c r="M150" s="395">
        <f t="shared" si="9"/>
        <v>67</v>
      </c>
    </row>
    <row r="151" spans="2:13" ht="24" hidden="1" thickBot="1" x14ac:dyDescent="0.4">
      <c r="B151" s="540"/>
      <c r="C151" s="534" t="s">
        <v>549</v>
      </c>
      <c r="D151" s="535" t="e">
        <f>3630*1*D150*SUM(D17:E25)</f>
        <v>#DIV/0!</v>
      </c>
      <c r="E151" s="615" t="e">
        <f>D151</f>
        <v>#DIV/0!</v>
      </c>
      <c r="F151" s="507"/>
      <c r="G151" s="393">
        <f t="shared" si="6"/>
        <v>4.7058823529411757</v>
      </c>
      <c r="H151" s="394">
        <f>('SITE DATA'!$F$26-(0.2*G151))^2/('SITE DATA'!$F$26+(0.8*G151))</f>
        <v>0.23529411764705879</v>
      </c>
      <c r="I151" s="395">
        <f t="shared" si="7"/>
        <v>68</v>
      </c>
      <c r="J151" s="394">
        <f>('SITE DATA'!$F$27-(0.2*G151))^2/('SITE DATA'!$F$27+(0.8*G151))</f>
        <v>0.23529411764705879</v>
      </c>
      <c r="K151" s="395">
        <f t="shared" si="8"/>
        <v>68</v>
      </c>
      <c r="L151" s="394">
        <f>('SITE DATA'!$F$28-(0.2*G151))^2/('SITE DATA'!$F$28+(0.8*G151))</f>
        <v>0.23529411764705879</v>
      </c>
      <c r="M151" s="395">
        <f t="shared" si="9"/>
        <v>68</v>
      </c>
    </row>
    <row r="152" spans="2:13" ht="15.75" hidden="1" thickBot="1" x14ac:dyDescent="0.25">
      <c r="B152" s="541"/>
      <c r="C152" s="537"/>
      <c r="D152" s="531"/>
      <c r="E152" s="507"/>
      <c r="F152" s="507"/>
      <c r="G152" s="393">
        <f t="shared" si="6"/>
        <v>4.4927536231884062</v>
      </c>
      <c r="H152" s="394">
        <f>('SITE DATA'!$F$26-(0.2*G152))^2/('SITE DATA'!$F$26+(0.8*G152))</f>
        <v>0.22463768115942032</v>
      </c>
      <c r="I152" s="395">
        <f t="shared" si="7"/>
        <v>69</v>
      </c>
      <c r="J152" s="394">
        <f>('SITE DATA'!$F$27-(0.2*G152))^2/('SITE DATA'!$F$27+(0.8*G152))</f>
        <v>0.22463768115942032</v>
      </c>
      <c r="K152" s="395">
        <f t="shared" si="8"/>
        <v>69</v>
      </c>
      <c r="L152" s="394">
        <f>('SITE DATA'!$F$28-(0.2*G152))^2/('SITE DATA'!$F$28+(0.8*G152))</f>
        <v>0.22463768115942032</v>
      </c>
      <c r="M152" s="395">
        <f t="shared" si="9"/>
        <v>69</v>
      </c>
    </row>
    <row r="153" spans="2:13" hidden="1" x14ac:dyDescent="0.2">
      <c r="B153" s="538"/>
      <c r="C153" s="511" t="s">
        <v>543</v>
      </c>
      <c r="D153" s="613" t="e">
        <f>(SUM(F25:G25))/SUM(D17:M25)</f>
        <v>#DIV/0!</v>
      </c>
      <c r="E153" s="507"/>
      <c r="F153" s="507"/>
      <c r="G153" s="393">
        <f t="shared" si="6"/>
        <v>4.2857142857142865</v>
      </c>
      <c r="H153" s="394">
        <f>('SITE DATA'!$F$26-(0.2*G153))^2/('SITE DATA'!$F$26+(0.8*G153))</f>
        <v>0.21428571428571433</v>
      </c>
      <c r="I153" s="395">
        <f t="shared" si="7"/>
        <v>70</v>
      </c>
      <c r="J153" s="394">
        <f>('SITE DATA'!$F$27-(0.2*G153))^2/('SITE DATA'!$F$27+(0.8*G153))</f>
        <v>0.21428571428571433</v>
      </c>
      <c r="K153" s="395">
        <f t="shared" si="8"/>
        <v>70</v>
      </c>
      <c r="L153" s="394">
        <f>('SITE DATA'!$F$28-(0.2*G153))^2/('SITE DATA'!$F$28+(0.8*G153))</f>
        <v>0.21428571428571433</v>
      </c>
      <c r="M153" s="395">
        <f t="shared" si="9"/>
        <v>70</v>
      </c>
    </row>
    <row r="154" spans="2:13" ht="24" hidden="1" thickBot="1" x14ac:dyDescent="0.4">
      <c r="B154" s="540" t="s">
        <v>570</v>
      </c>
      <c r="C154" s="511" t="s">
        <v>547</v>
      </c>
      <c r="D154" s="539" t="e">
        <f>0.05+(0.9*D153)</f>
        <v>#DIV/0!</v>
      </c>
      <c r="E154" s="507"/>
      <c r="F154" s="507"/>
      <c r="G154" s="393">
        <f t="shared" si="6"/>
        <v>4.0845070422535219</v>
      </c>
      <c r="H154" s="394">
        <f>('SITE DATA'!$F$26-(0.2*G154))^2/('SITE DATA'!$F$26+(0.8*G154))</f>
        <v>0.20422535211267612</v>
      </c>
      <c r="I154" s="395">
        <f t="shared" si="7"/>
        <v>71</v>
      </c>
      <c r="J154" s="394">
        <f>('SITE DATA'!$F$27-(0.2*G154))^2/('SITE DATA'!$F$27+(0.8*G154))</f>
        <v>0.20422535211267612</v>
      </c>
      <c r="K154" s="395">
        <f t="shared" si="8"/>
        <v>71</v>
      </c>
      <c r="L154" s="394">
        <f>('SITE DATA'!$F$28-(0.2*G154))^2/('SITE DATA'!$F$28+(0.8*G154))</f>
        <v>0.20422535211267612</v>
      </c>
      <c r="M154" s="395">
        <f t="shared" si="9"/>
        <v>71</v>
      </c>
    </row>
    <row r="155" spans="2:13" ht="24" hidden="1" thickBot="1" x14ac:dyDescent="0.4">
      <c r="B155" s="540"/>
      <c r="C155" s="534" t="s">
        <v>549</v>
      </c>
      <c r="D155" s="535" t="e">
        <f>3630*1*D154*SUM(F17:G25)</f>
        <v>#DIV/0!</v>
      </c>
      <c r="E155" s="615" t="e">
        <f>D155</f>
        <v>#DIV/0!</v>
      </c>
      <c r="F155" s="507"/>
      <c r="G155" s="393">
        <f t="shared" si="6"/>
        <v>3.8888888888888893</v>
      </c>
      <c r="H155" s="394">
        <f>('SITE DATA'!$F$26-(0.2*G155))^2/('SITE DATA'!$F$26+(0.8*G155))</f>
        <v>0.1944444444444445</v>
      </c>
      <c r="I155" s="395">
        <f t="shared" si="7"/>
        <v>72</v>
      </c>
      <c r="J155" s="394">
        <f>('SITE DATA'!$F$27-(0.2*G155))^2/('SITE DATA'!$F$27+(0.8*G155))</f>
        <v>0.1944444444444445</v>
      </c>
      <c r="K155" s="395">
        <f t="shared" si="8"/>
        <v>72</v>
      </c>
      <c r="L155" s="394">
        <f>('SITE DATA'!$F$28-(0.2*G155))^2/('SITE DATA'!$F$28+(0.8*G155))</f>
        <v>0.1944444444444445</v>
      </c>
      <c r="M155" s="395">
        <f t="shared" si="9"/>
        <v>72</v>
      </c>
    </row>
    <row r="156" spans="2:13" ht="15.75" hidden="1" thickBot="1" x14ac:dyDescent="0.25">
      <c r="B156" s="541"/>
      <c r="C156" s="537"/>
      <c r="D156" s="531"/>
      <c r="E156" s="507"/>
      <c r="F156" s="507"/>
      <c r="G156" s="393">
        <f t="shared" si="6"/>
        <v>3.6986301369863011</v>
      </c>
      <c r="H156" s="394">
        <f>('SITE DATA'!$F$26-(0.2*G156))^2/('SITE DATA'!$F$26+(0.8*G156))</f>
        <v>0.18493150684931509</v>
      </c>
      <c r="I156" s="395">
        <f t="shared" si="7"/>
        <v>73</v>
      </c>
      <c r="J156" s="394">
        <f>('SITE DATA'!$F$27-(0.2*G156))^2/('SITE DATA'!$F$27+(0.8*G156))</f>
        <v>0.18493150684931509</v>
      </c>
      <c r="K156" s="395">
        <f t="shared" si="8"/>
        <v>73</v>
      </c>
      <c r="L156" s="394">
        <f>('SITE DATA'!$F$28-(0.2*G156))^2/('SITE DATA'!$F$28+(0.8*G156))</f>
        <v>0.18493150684931509</v>
      </c>
      <c r="M156" s="395">
        <f t="shared" si="9"/>
        <v>73</v>
      </c>
    </row>
    <row r="157" spans="2:13" hidden="1" x14ac:dyDescent="0.2">
      <c r="B157" s="538"/>
      <c r="C157" s="511" t="s">
        <v>543</v>
      </c>
      <c r="D157" s="613" t="e">
        <f>(SUM(H25:I25))/SUM(D17:M25)</f>
        <v>#DIV/0!</v>
      </c>
      <c r="E157" s="507"/>
      <c r="F157" s="507"/>
      <c r="G157" s="393">
        <f t="shared" si="6"/>
        <v>3.513513513513514</v>
      </c>
      <c r="H157" s="394">
        <f>('SITE DATA'!$F$26-(0.2*G157))^2/('SITE DATA'!$F$26+(0.8*G157))</f>
        <v>0.17567567567567571</v>
      </c>
      <c r="I157" s="395">
        <f t="shared" si="7"/>
        <v>74</v>
      </c>
      <c r="J157" s="394">
        <f>('SITE DATA'!$F$27-(0.2*G157))^2/('SITE DATA'!$F$27+(0.8*G157))</f>
        <v>0.17567567567567571</v>
      </c>
      <c r="K157" s="395">
        <f t="shared" si="8"/>
        <v>74</v>
      </c>
      <c r="L157" s="394">
        <f>('SITE DATA'!$F$28-(0.2*G157))^2/('SITE DATA'!$F$28+(0.8*G157))</f>
        <v>0.17567567567567571</v>
      </c>
      <c r="M157" s="395">
        <f t="shared" si="9"/>
        <v>74</v>
      </c>
    </row>
    <row r="158" spans="2:13" ht="24" hidden="1" thickBot="1" x14ac:dyDescent="0.4">
      <c r="B158" s="540" t="s">
        <v>571</v>
      </c>
      <c r="C158" s="511" t="s">
        <v>547</v>
      </c>
      <c r="D158" s="539" t="e">
        <f>0.05+(0.9*D157)</f>
        <v>#DIV/0!</v>
      </c>
      <c r="E158" s="507"/>
      <c r="F158" s="507"/>
      <c r="G158" s="393">
        <f t="shared" si="6"/>
        <v>3.3333333333333339</v>
      </c>
      <c r="H158" s="394">
        <f>('SITE DATA'!$F$26-(0.2*G158))^2/('SITE DATA'!$F$26+(0.8*G158))</f>
        <v>0.16666666666666671</v>
      </c>
      <c r="I158" s="395">
        <f t="shared" si="7"/>
        <v>75</v>
      </c>
      <c r="J158" s="394">
        <f>('SITE DATA'!$F$27-(0.2*G158))^2/('SITE DATA'!$F$27+(0.8*G158))</f>
        <v>0.16666666666666671</v>
      </c>
      <c r="K158" s="395">
        <f t="shared" si="8"/>
        <v>75</v>
      </c>
      <c r="L158" s="394">
        <f>('SITE DATA'!$F$28-(0.2*G158))^2/('SITE DATA'!$F$28+(0.8*G158))</f>
        <v>0.16666666666666671</v>
      </c>
      <c r="M158" s="395">
        <f t="shared" si="9"/>
        <v>75</v>
      </c>
    </row>
    <row r="159" spans="2:13" ht="24" hidden="1" thickBot="1" x14ac:dyDescent="0.4">
      <c r="B159" s="540"/>
      <c r="C159" s="534" t="s">
        <v>549</v>
      </c>
      <c r="D159" s="535" t="e">
        <f>3630*1*D158*SUM(H17:I25)</f>
        <v>#DIV/0!</v>
      </c>
      <c r="E159" s="615" t="e">
        <f>D159</f>
        <v>#DIV/0!</v>
      </c>
      <c r="F159" s="507"/>
      <c r="G159" s="393">
        <f t="shared" si="6"/>
        <v>3.1578947368421044</v>
      </c>
      <c r="H159" s="394">
        <f>('SITE DATA'!$F$26-(0.2*G159))^2/('SITE DATA'!$F$26+(0.8*G159))</f>
        <v>0.15789473684210523</v>
      </c>
      <c r="I159" s="586">
        <f t="shared" si="7"/>
        <v>76</v>
      </c>
      <c r="J159" s="394">
        <f>('SITE DATA'!$F$27-(0.2*G159))^2/('SITE DATA'!$F$27+(0.8*G159))</f>
        <v>0.15789473684210523</v>
      </c>
      <c r="K159" s="586">
        <f t="shared" si="8"/>
        <v>76</v>
      </c>
      <c r="L159" s="394">
        <f>('SITE DATA'!$F$28-(0.2*G159))^2/('SITE DATA'!$F$28+(0.8*G159))</f>
        <v>0.15789473684210523</v>
      </c>
      <c r="M159" s="586">
        <f t="shared" si="9"/>
        <v>76</v>
      </c>
    </row>
    <row r="160" spans="2:13" ht="15.75" hidden="1" thickBot="1" x14ac:dyDescent="0.25">
      <c r="B160" s="541"/>
      <c r="C160" s="537"/>
      <c r="D160" s="531"/>
      <c r="E160" s="507"/>
      <c r="F160" s="507"/>
      <c r="G160" s="393">
        <f t="shared" si="6"/>
        <v>2.9870129870129869</v>
      </c>
      <c r="H160" s="394">
        <f>('SITE DATA'!$F$26-(0.2*G160))^2/('SITE DATA'!$F$26+(0.8*G160))</f>
        <v>0.14935064935064934</v>
      </c>
      <c r="I160" s="586">
        <f t="shared" si="7"/>
        <v>77</v>
      </c>
      <c r="J160" s="394">
        <f>('SITE DATA'!$F$27-(0.2*G160))^2/('SITE DATA'!$F$27+(0.8*G160))</f>
        <v>0.14935064935064934</v>
      </c>
      <c r="K160" s="586">
        <f t="shared" si="8"/>
        <v>77</v>
      </c>
      <c r="L160" s="394">
        <f>('SITE DATA'!$F$28-(0.2*G160))^2/('SITE DATA'!$F$28+(0.8*G160))</f>
        <v>0.14935064935064934</v>
      </c>
      <c r="M160" s="586">
        <f t="shared" si="9"/>
        <v>77</v>
      </c>
    </row>
    <row r="161" spans="2:13" hidden="1" x14ac:dyDescent="0.2">
      <c r="B161" s="538"/>
      <c r="C161" s="511" t="s">
        <v>543</v>
      </c>
      <c r="D161" s="613" t="e">
        <f>(SUM(J25:K25))/SUM(D17:M25)</f>
        <v>#DIV/0!</v>
      </c>
      <c r="E161" s="507"/>
      <c r="F161" s="507"/>
      <c r="G161" s="393">
        <f t="shared" si="6"/>
        <v>2.8205128205128212</v>
      </c>
      <c r="H161" s="394">
        <f>('SITE DATA'!$F$26-(0.2*G161))^2/('SITE DATA'!$F$26+(0.8*G161))</f>
        <v>0.14102564102564105</v>
      </c>
      <c r="I161" s="586">
        <f t="shared" si="7"/>
        <v>78</v>
      </c>
      <c r="J161" s="394">
        <f>('SITE DATA'!$F$27-(0.2*G161))^2/('SITE DATA'!$F$27+(0.8*G161))</f>
        <v>0.14102564102564105</v>
      </c>
      <c r="K161" s="586">
        <f t="shared" si="8"/>
        <v>78</v>
      </c>
      <c r="L161" s="394">
        <f>('SITE DATA'!$F$28-(0.2*G161))^2/('SITE DATA'!$F$28+(0.8*G161))</f>
        <v>0.14102564102564105</v>
      </c>
      <c r="M161" s="586">
        <f t="shared" si="9"/>
        <v>78</v>
      </c>
    </row>
    <row r="162" spans="2:13" ht="24" hidden="1" thickBot="1" x14ac:dyDescent="0.4">
      <c r="B162" s="540" t="s">
        <v>572</v>
      </c>
      <c r="C162" s="511" t="s">
        <v>547</v>
      </c>
      <c r="D162" s="539" t="e">
        <f>0.05+(0.9*D161)</f>
        <v>#DIV/0!</v>
      </c>
      <c r="E162" s="507"/>
      <c r="F162" s="507"/>
      <c r="G162" s="393">
        <f t="shared" si="6"/>
        <v>2.6582278481012658</v>
      </c>
      <c r="H162" s="394">
        <f>('SITE DATA'!$F$26-(0.2*G162))^2/('SITE DATA'!$F$26+(0.8*G162))</f>
        <v>0.13291139240506331</v>
      </c>
      <c r="I162" s="586">
        <f t="shared" si="7"/>
        <v>79</v>
      </c>
      <c r="J162" s="394">
        <f>('SITE DATA'!$F$27-(0.2*G162))^2/('SITE DATA'!$F$27+(0.8*G162))</f>
        <v>0.13291139240506331</v>
      </c>
      <c r="K162" s="586">
        <f t="shared" si="8"/>
        <v>79</v>
      </c>
      <c r="L162" s="394">
        <f>('SITE DATA'!$F$28-(0.2*G162))^2/('SITE DATA'!$F$28+(0.8*G162))</f>
        <v>0.13291139240506331</v>
      </c>
      <c r="M162" s="586">
        <f t="shared" si="9"/>
        <v>79</v>
      </c>
    </row>
    <row r="163" spans="2:13" ht="24" hidden="1" thickBot="1" x14ac:dyDescent="0.4">
      <c r="B163" s="540"/>
      <c r="C163" s="534" t="s">
        <v>549</v>
      </c>
      <c r="D163" s="535" t="e">
        <f>3630*1*D162*SUM(J17:K25)</f>
        <v>#DIV/0!</v>
      </c>
      <c r="E163" s="615" t="e">
        <f>D163</f>
        <v>#DIV/0!</v>
      </c>
      <c r="F163" s="507"/>
      <c r="G163" s="393">
        <f t="shared" si="6"/>
        <v>2.5</v>
      </c>
      <c r="H163" s="394">
        <f>('SITE DATA'!$F$26-(0.2*G163))^2/('SITE DATA'!$F$26+(0.8*G163))</f>
        <v>0.125</v>
      </c>
      <c r="I163" s="586">
        <f t="shared" si="7"/>
        <v>80</v>
      </c>
      <c r="J163" s="394">
        <f>('SITE DATA'!$F$27-(0.2*G163))^2/('SITE DATA'!$F$27+(0.8*G163))</f>
        <v>0.125</v>
      </c>
      <c r="K163" s="586">
        <f t="shared" si="8"/>
        <v>80</v>
      </c>
      <c r="L163" s="394">
        <f>('SITE DATA'!$F$28-(0.2*G163))^2/('SITE DATA'!$F$28+(0.8*G163))</f>
        <v>0.125</v>
      </c>
      <c r="M163" s="586">
        <f t="shared" si="9"/>
        <v>80</v>
      </c>
    </row>
    <row r="164" spans="2:13" ht="15.75" hidden="1" thickBot="1" x14ac:dyDescent="0.25">
      <c r="B164" s="541"/>
      <c r="C164" s="537"/>
      <c r="D164" s="531"/>
      <c r="E164" s="507"/>
      <c r="F164" s="507"/>
      <c r="G164" s="393">
        <f t="shared" si="6"/>
        <v>2.3456790123456788</v>
      </c>
      <c r="H164" s="394">
        <f>('SITE DATA'!$F$26-(0.2*G164))^2/('SITE DATA'!$F$26+(0.8*G164))</f>
        <v>0.11728395061728394</v>
      </c>
      <c r="I164" s="586">
        <f t="shared" si="7"/>
        <v>81</v>
      </c>
      <c r="J164" s="394">
        <f>('SITE DATA'!$F$27-(0.2*G164))^2/('SITE DATA'!$F$27+(0.8*G164))</f>
        <v>0.11728395061728394</v>
      </c>
      <c r="K164" s="586">
        <f t="shared" si="8"/>
        <v>81</v>
      </c>
      <c r="L164" s="394">
        <f>('SITE DATA'!$F$28-(0.2*G164))^2/('SITE DATA'!$F$28+(0.8*G164))</f>
        <v>0.11728395061728394</v>
      </c>
      <c r="M164" s="586">
        <f t="shared" si="9"/>
        <v>81</v>
      </c>
    </row>
    <row r="165" spans="2:13" hidden="1" x14ac:dyDescent="0.2">
      <c r="B165" s="538"/>
      <c r="C165" s="511" t="s">
        <v>543</v>
      </c>
      <c r="D165" s="613" t="e">
        <f>(SUM(L25:M25))/SUM(D17:M25)</f>
        <v>#DIV/0!</v>
      </c>
      <c r="E165" s="507"/>
      <c r="F165" s="507"/>
      <c r="G165" s="393">
        <f t="shared" si="6"/>
        <v>2.1951219512195124</v>
      </c>
      <c r="H165" s="394">
        <f>('SITE DATA'!$F$26-(0.2*G165))^2/('SITE DATA'!$F$26+(0.8*G165))</f>
        <v>0.10975609756097562</v>
      </c>
      <c r="I165" s="586">
        <f t="shared" si="7"/>
        <v>82</v>
      </c>
      <c r="J165" s="394">
        <f>('SITE DATA'!$F$27-(0.2*G165))^2/('SITE DATA'!$F$27+(0.8*G165))</f>
        <v>0.10975609756097562</v>
      </c>
      <c r="K165" s="586">
        <f t="shared" si="8"/>
        <v>82</v>
      </c>
      <c r="L165" s="394">
        <f>('SITE DATA'!$F$28-(0.2*G165))^2/('SITE DATA'!$F$28+(0.8*G165))</f>
        <v>0.10975609756097562</v>
      </c>
      <c r="M165" s="586">
        <f t="shared" si="9"/>
        <v>82</v>
      </c>
    </row>
    <row r="166" spans="2:13" ht="24" hidden="1" thickBot="1" x14ac:dyDescent="0.4">
      <c r="B166" s="540" t="s">
        <v>573</v>
      </c>
      <c r="C166" s="511" t="s">
        <v>547</v>
      </c>
      <c r="D166" s="539" t="e">
        <f>0.05+(0.9*D165)</f>
        <v>#DIV/0!</v>
      </c>
      <c r="E166" s="507"/>
      <c r="F166" s="507"/>
      <c r="G166" s="393">
        <f t="shared" si="6"/>
        <v>2.0481927710843379</v>
      </c>
      <c r="H166" s="394">
        <f>('SITE DATA'!$F$26-(0.2*G166))^2/('SITE DATA'!$F$26+(0.8*G166))</f>
        <v>0.10240963855421689</v>
      </c>
      <c r="I166" s="586">
        <f t="shared" si="7"/>
        <v>83</v>
      </c>
      <c r="J166" s="394">
        <f>('SITE DATA'!$F$27-(0.2*G166))^2/('SITE DATA'!$F$27+(0.8*G166))</f>
        <v>0.10240963855421689</v>
      </c>
      <c r="K166" s="586">
        <f t="shared" si="8"/>
        <v>83</v>
      </c>
      <c r="L166" s="394">
        <f>('SITE DATA'!$F$28-(0.2*G166))^2/('SITE DATA'!$F$28+(0.8*G166))</f>
        <v>0.10240963855421689</v>
      </c>
      <c r="M166" s="586">
        <f t="shared" si="9"/>
        <v>83</v>
      </c>
    </row>
    <row r="167" spans="2:13" ht="24" hidden="1" thickBot="1" x14ac:dyDescent="0.4">
      <c r="B167" s="540"/>
      <c r="C167" s="534" t="s">
        <v>549</v>
      </c>
      <c r="D167" s="535" t="e">
        <f>3630*1*D166*SUM(L17:M25)</f>
        <v>#DIV/0!</v>
      </c>
      <c r="E167" s="615" t="e">
        <f>D167</f>
        <v>#DIV/0!</v>
      </c>
      <c r="F167" s="507"/>
      <c r="G167" s="393">
        <f t="shared" si="6"/>
        <v>1.9047619047619051</v>
      </c>
      <c r="H167" s="394">
        <f>('SITE DATA'!$F$26-(0.2*G167))^2/('SITE DATA'!$F$26+(0.8*G167))</f>
        <v>9.5238095238095261E-2</v>
      </c>
      <c r="I167" s="586">
        <f t="shared" si="7"/>
        <v>84</v>
      </c>
      <c r="J167" s="394">
        <f>('SITE DATA'!$F$27-(0.2*G167))^2/('SITE DATA'!$F$27+(0.8*G167))</f>
        <v>9.5238095238095261E-2</v>
      </c>
      <c r="K167" s="586">
        <f t="shared" si="8"/>
        <v>84</v>
      </c>
      <c r="L167" s="394">
        <f>('SITE DATA'!$F$28-(0.2*G167))^2/('SITE DATA'!$F$28+(0.8*G167))</f>
        <v>9.5238095238095261E-2</v>
      </c>
      <c r="M167" s="586">
        <f t="shared" si="9"/>
        <v>84</v>
      </c>
    </row>
    <row r="168" spans="2:13" ht="15.75" hidden="1" thickBot="1" x14ac:dyDescent="0.25">
      <c r="B168" s="541"/>
      <c r="C168" s="537"/>
      <c r="D168" s="531"/>
      <c r="E168" s="507"/>
      <c r="F168" s="507"/>
      <c r="G168" s="393">
        <f t="shared" si="6"/>
        <v>1.764705882352942</v>
      </c>
      <c r="H168" s="394">
        <f>('SITE DATA'!$F$26-(0.2*G168))^2/('SITE DATA'!$F$26+(0.8*G168))</f>
        <v>8.8235294117647106E-2</v>
      </c>
      <c r="I168" s="586">
        <f t="shared" si="7"/>
        <v>85</v>
      </c>
      <c r="J168" s="394">
        <f>('SITE DATA'!$F$27-(0.2*G168))^2/('SITE DATA'!$F$27+(0.8*G168))</f>
        <v>8.8235294117647106E-2</v>
      </c>
      <c r="K168" s="586">
        <f t="shared" si="8"/>
        <v>85</v>
      </c>
      <c r="L168" s="394">
        <f>('SITE DATA'!$F$28-(0.2*G168))^2/('SITE DATA'!$F$28+(0.8*G168))</f>
        <v>8.8235294117647106E-2</v>
      </c>
      <c r="M168" s="586">
        <f t="shared" si="9"/>
        <v>85</v>
      </c>
    </row>
    <row r="169" spans="2:13" hidden="1" x14ac:dyDescent="0.2">
      <c r="B169" s="397"/>
      <c r="C169" s="507"/>
      <c r="D169" s="507"/>
      <c r="E169" s="507"/>
      <c r="F169" s="160"/>
      <c r="G169" s="393">
        <f t="shared" si="6"/>
        <v>1.6279069767441854</v>
      </c>
      <c r="H169" s="394">
        <f>('SITE DATA'!$F$26-(0.2*G169))^2/('SITE DATA'!$F$26+(0.8*G169))</f>
        <v>8.139534883720928E-2</v>
      </c>
      <c r="I169" s="586">
        <f t="shared" si="7"/>
        <v>86</v>
      </c>
      <c r="J169" s="394">
        <f>('SITE DATA'!$F$27-(0.2*G169))^2/('SITE DATA'!$F$27+(0.8*G169))</f>
        <v>8.139534883720928E-2</v>
      </c>
      <c r="K169" s="586">
        <f t="shared" si="8"/>
        <v>86</v>
      </c>
      <c r="L169" s="394">
        <f>('SITE DATA'!$F$28-(0.2*G169))^2/('SITE DATA'!$F$28+(0.8*G169))</f>
        <v>8.139534883720928E-2</v>
      </c>
      <c r="M169" s="586">
        <f t="shared" si="9"/>
        <v>86</v>
      </c>
    </row>
    <row r="170" spans="2:13" hidden="1" x14ac:dyDescent="0.2">
      <c r="B170" s="397"/>
      <c r="C170" s="507"/>
      <c r="D170" s="507"/>
      <c r="E170" s="507"/>
      <c r="F170" s="507"/>
      <c r="G170" s="393">
        <f t="shared" si="6"/>
        <v>1.4942528735632177</v>
      </c>
      <c r="H170" s="394">
        <f>('SITE DATA'!$F$26-(0.2*G170))^2/('SITE DATA'!$F$26+(0.8*G170))</f>
        <v>7.4712643678160884E-2</v>
      </c>
      <c r="I170" s="586">
        <f t="shared" si="7"/>
        <v>87</v>
      </c>
      <c r="J170" s="394">
        <f>('SITE DATA'!$F$27-(0.2*G170))^2/('SITE DATA'!$F$27+(0.8*G170))</f>
        <v>7.4712643678160884E-2</v>
      </c>
      <c r="K170" s="586">
        <f t="shared" si="8"/>
        <v>87</v>
      </c>
      <c r="L170" s="394">
        <f>('SITE DATA'!$F$28-(0.2*G170))^2/('SITE DATA'!$F$28+(0.8*G170))</f>
        <v>7.4712643678160884E-2</v>
      </c>
      <c r="M170" s="586">
        <f t="shared" si="9"/>
        <v>87</v>
      </c>
    </row>
    <row r="171" spans="2:13" hidden="1" x14ac:dyDescent="0.2">
      <c r="B171" s="397"/>
      <c r="C171" s="507"/>
      <c r="D171" s="507"/>
      <c r="E171" s="507"/>
      <c r="F171" s="507"/>
      <c r="G171" s="393">
        <f t="shared" si="6"/>
        <v>1.3636363636363633</v>
      </c>
      <c r="H171" s="394">
        <f>('SITE DATA'!$F$26-(0.2*G171))^2/('SITE DATA'!$F$26+(0.8*G171))</f>
        <v>6.8181818181818163E-2</v>
      </c>
      <c r="I171" s="586">
        <f t="shared" si="7"/>
        <v>88</v>
      </c>
      <c r="J171" s="394">
        <f>('SITE DATA'!$F$27-(0.2*G171))^2/('SITE DATA'!$F$27+(0.8*G171))</f>
        <v>6.8181818181818163E-2</v>
      </c>
      <c r="K171" s="586">
        <f t="shared" si="8"/>
        <v>88</v>
      </c>
      <c r="L171" s="394">
        <f>('SITE DATA'!$F$28-(0.2*G171))^2/('SITE DATA'!$F$28+(0.8*G171))</f>
        <v>6.8181818181818163E-2</v>
      </c>
      <c r="M171" s="586">
        <f t="shared" si="9"/>
        <v>88</v>
      </c>
    </row>
    <row r="172" spans="2:13" hidden="1" x14ac:dyDescent="0.2">
      <c r="B172" s="397"/>
      <c r="C172" s="507"/>
      <c r="D172" s="507"/>
      <c r="E172" s="507"/>
      <c r="F172" s="507"/>
      <c r="G172" s="393">
        <f t="shared" si="6"/>
        <v>1.2359550561797761</v>
      </c>
      <c r="H172" s="394">
        <f>('SITE DATA'!$F$26-(0.2*G172))^2/('SITE DATA'!$F$26+(0.8*G172))</f>
        <v>6.1797752808988804E-2</v>
      </c>
      <c r="I172" s="586">
        <f t="shared" si="7"/>
        <v>89</v>
      </c>
      <c r="J172" s="394">
        <f>('SITE DATA'!$F$27-(0.2*G172))^2/('SITE DATA'!$F$27+(0.8*G172))</f>
        <v>6.1797752808988804E-2</v>
      </c>
      <c r="K172" s="586">
        <f t="shared" si="8"/>
        <v>89</v>
      </c>
      <c r="L172" s="394">
        <f>('SITE DATA'!$F$28-(0.2*G172))^2/('SITE DATA'!$F$28+(0.8*G172))</f>
        <v>6.1797752808988804E-2</v>
      </c>
      <c r="M172" s="586">
        <f t="shared" si="9"/>
        <v>89</v>
      </c>
    </row>
    <row r="173" spans="2:13" hidden="1" x14ac:dyDescent="0.2">
      <c r="B173" s="397"/>
      <c r="C173" s="507"/>
      <c r="D173" s="507"/>
      <c r="E173" s="507"/>
      <c r="F173" s="507"/>
      <c r="G173" s="393">
        <f t="shared" si="6"/>
        <v>1.1111111111111107</v>
      </c>
      <c r="H173" s="394">
        <f>('SITE DATA'!$F$26-(0.2*G173))^2/('SITE DATA'!$F$26+(0.8*G173))</f>
        <v>5.5555555555555539E-2</v>
      </c>
      <c r="I173" s="586">
        <f t="shared" si="7"/>
        <v>90</v>
      </c>
      <c r="J173" s="394">
        <f>('SITE DATA'!$F$27-(0.2*G173))^2/('SITE DATA'!$F$27+(0.8*G173))</f>
        <v>5.5555555555555539E-2</v>
      </c>
      <c r="K173" s="586">
        <f t="shared" si="8"/>
        <v>90</v>
      </c>
      <c r="L173" s="394">
        <f>('SITE DATA'!$F$28-(0.2*G173))^2/('SITE DATA'!$F$28+(0.8*G173))</f>
        <v>5.5555555555555539E-2</v>
      </c>
      <c r="M173" s="586">
        <f t="shared" si="9"/>
        <v>90</v>
      </c>
    </row>
    <row r="174" spans="2:13" hidden="1" x14ac:dyDescent="0.2">
      <c r="B174" s="397"/>
      <c r="C174" s="507"/>
      <c r="D174" s="507"/>
      <c r="E174" s="507"/>
      <c r="F174" s="507"/>
      <c r="G174" s="393">
        <f t="shared" si="6"/>
        <v>0.98901098901098905</v>
      </c>
      <c r="H174" s="394">
        <f>('SITE DATA'!$F$26-(0.2*G174))^2/('SITE DATA'!$F$26+(0.8*G174))</f>
        <v>4.9450549450549455E-2</v>
      </c>
      <c r="I174" s="586">
        <f t="shared" si="7"/>
        <v>91</v>
      </c>
      <c r="J174" s="394">
        <f>('SITE DATA'!$F$27-(0.2*G174))^2/('SITE DATA'!$F$27+(0.8*G174))</f>
        <v>4.9450549450549455E-2</v>
      </c>
      <c r="K174" s="586">
        <f t="shared" si="8"/>
        <v>91</v>
      </c>
      <c r="L174" s="394">
        <f>('SITE DATA'!$F$28-(0.2*G174))^2/('SITE DATA'!$F$28+(0.8*G174))</f>
        <v>4.9450549450549455E-2</v>
      </c>
      <c r="M174" s="586">
        <f t="shared" si="9"/>
        <v>91</v>
      </c>
    </row>
    <row r="175" spans="2:13" hidden="1" x14ac:dyDescent="0.2">
      <c r="B175" s="397"/>
      <c r="C175" s="507"/>
      <c r="D175" s="507"/>
      <c r="E175" s="507"/>
      <c r="F175" s="507"/>
      <c r="G175" s="393">
        <f t="shared" si="6"/>
        <v>0.86956521739130466</v>
      </c>
      <c r="H175" s="394">
        <f>('SITE DATA'!$F$26-(0.2*G175))^2/('SITE DATA'!$F$26+(0.8*G175))</f>
        <v>4.3478260869565237E-2</v>
      </c>
      <c r="I175" s="586">
        <f t="shared" si="7"/>
        <v>92</v>
      </c>
      <c r="J175" s="394">
        <f>('SITE DATA'!$F$27-(0.2*G175))^2/('SITE DATA'!$F$27+(0.8*G175))</f>
        <v>4.3478260869565237E-2</v>
      </c>
      <c r="K175" s="586">
        <f t="shared" si="8"/>
        <v>92</v>
      </c>
      <c r="L175" s="394">
        <f>('SITE DATA'!$F$28-(0.2*G175))^2/('SITE DATA'!$F$28+(0.8*G175))</f>
        <v>4.3478260869565237E-2</v>
      </c>
      <c r="M175" s="586">
        <f t="shared" si="9"/>
        <v>92</v>
      </c>
    </row>
    <row r="176" spans="2:13" hidden="1" x14ac:dyDescent="0.2">
      <c r="B176" s="397"/>
      <c r="C176" s="507"/>
      <c r="D176" s="507"/>
      <c r="E176" s="507"/>
      <c r="F176" s="507"/>
      <c r="G176" s="393">
        <f t="shared" si="6"/>
        <v>0.75268817204301008</v>
      </c>
      <c r="H176" s="394">
        <f>('SITE DATA'!$F$26-(0.2*G176))^2/('SITE DATA'!$F$26+(0.8*G176))</f>
        <v>3.7634408602150504E-2</v>
      </c>
      <c r="I176" s="586">
        <f t="shared" si="7"/>
        <v>93</v>
      </c>
      <c r="J176" s="394">
        <f>('SITE DATA'!$F$27-(0.2*G176))^2/('SITE DATA'!$F$27+(0.8*G176))</f>
        <v>3.7634408602150504E-2</v>
      </c>
      <c r="K176" s="586">
        <f t="shared" si="8"/>
        <v>93</v>
      </c>
      <c r="L176" s="394">
        <f>('SITE DATA'!$F$28-(0.2*G176))^2/('SITE DATA'!$F$28+(0.8*G176))</f>
        <v>3.7634408602150504E-2</v>
      </c>
      <c r="M176" s="586">
        <f t="shared" si="9"/>
        <v>93</v>
      </c>
    </row>
    <row r="177" spans="2:14" hidden="1" x14ac:dyDescent="0.2">
      <c r="B177" s="397"/>
      <c r="C177" s="507"/>
      <c r="D177" s="507"/>
      <c r="E177" s="507"/>
      <c r="F177" s="507"/>
      <c r="G177" s="393">
        <f t="shared" si="6"/>
        <v>0.63829787234042534</v>
      </c>
      <c r="H177" s="394">
        <f>('SITE DATA'!$F$26-(0.2*G177))^2/('SITE DATA'!$F$26+(0.8*G177))</f>
        <v>3.1914893617021267E-2</v>
      </c>
      <c r="I177" s="586">
        <f t="shared" si="7"/>
        <v>94</v>
      </c>
      <c r="J177" s="394">
        <f>('SITE DATA'!$F$27-(0.2*G177))^2/('SITE DATA'!$F$27+(0.8*G177))</f>
        <v>3.1914893617021267E-2</v>
      </c>
      <c r="K177" s="586">
        <f t="shared" si="8"/>
        <v>94</v>
      </c>
      <c r="L177" s="394">
        <f>('SITE DATA'!$F$28-(0.2*G177))^2/('SITE DATA'!$F$28+(0.8*G177))</f>
        <v>3.1914893617021267E-2</v>
      </c>
      <c r="M177" s="586">
        <f t="shared" si="9"/>
        <v>94</v>
      </c>
    </row>
    <row r="178" spans="2:14" hidden="1" x14ac:dyDescent="0.2">
      <c r="B178" s="397"/>
      <c r="C178" s="507"/>
      <c r="D178" s="507"/>
      <c r="E178" s="507"/>
      <c r="F178" s="507"/>
      <c r="G178" s="393">
        <f t="shared" si="6"/>
        <v>0.52631578947368496</v>
      </c>
      <c r="H178" s="394">
        <f>('SITE DATA'!$F$26-(0.2*G178))^2/('SITE DATA'!$F$26+(0.8*G178))</f>
        <v>2.6315789473684247E-2</v>
      </c>
      <c r="I178" s="586">
        <f t="shared" si="7"/>
        <v>95</v>
      </c>
      <c r="J178" s="394">
        <f>('SITE DATA'!$F$27-(0.2*G178))^2/('SITE DATA'!$F$27+(0.8*G178))</f>
        <v>2.6315789473684247E-2</v>
      </c>
      <c r="K178" s="586">
        <f t="shared" si="8"/>
        <v>95</v>
      </c>
      <c r="L178" s="394">
        <f>('SITE DATA'!$F$28-(0.2*G178))^2/('SITE DATA'!$F$28+(0.8*G178))</f>
        <v>2.6315789473684247E-2</v>
      </c>
      <c r="M178" s="586">
        <f t="shared" si="9"/>
        <v>95</v>
      </c>
    </row>
    <row r="179" spans="2:14" hidden="1" x14ac:dyDescent="0.2">
      <c r="B179" s="397"/>
      <c r="C179" s="507"/>
      <c r="D179" s="507"/>
      <c r="E179" s="507"/>
      <c r="F179" s="507"/>
      <c r="G179" s="393">
        <f t="shared" si="6"/>
        <v>0.41666666666666607</v>
      </c>
      <c r="H179" s="394">
        <f>('SITE DATA'!$F$26-(0.2*G179))^2/('SITE DATA'!$F$26+(0.8*G179))</f>
        <v>2.0833333333333304E-2</v>
      </c>
      <c r="I179" s="586">
        <f t="shared" si="7"/>
        <v>96</v>
      </c>
      <c r="J179" s="394">
        <f>('SITE DATA'!$F$27-(0.2*G179))^2/('SITE DATA'!$F$27+(0.8*G179))</f>
        <v>2.0833333333333304E-2</v>
      </c>
      <c r="K179" s="586">
        <f t="shared" si="8"/>
        <v>96</v>
      </c>
      <c r="L179" s="394">
        <f>('SITE DATA'!$F$28-(0.2*G179))^2/('SITE DATA'!$F$28+(0.8*G179))</f>
        <v>2.0833333333333304E-2</v>
      </c>
      <c r="M179" s="586">
        <f t="shared" si="9"/>
        <v>96</v>
      </c>
    </row>
    <row r="180" spans="2:14" hidden="1" x14ac:dyDescent="0.2">
      <c r="B180" s="397"/>
      <c r="C180" s="507"/>
      <c r="D180" s="507"/>
      <c r="E180" s="507"/>
      <c r="F180" s="507"/>
      <c r="G180" s="393">
        <f t="shared" si="6"/>
        <v>0.3092783505154646</v>
      </c>
      <c r="H180" s="394">
        <f>('SITE DATA'!$F$26-(0.2*G180))^2/('SITE DATA'!$F$26+(0.8*G180))</f>
        <v>1.5463917525773231E-2</v>
      </c>
      <c r="I180" s="586">
        <f t="shared" si="7"/>
        <v>97</v>
      </c>
      <c r="J180" s="394">
        <f>('SITE DATA'!$F$27-(0.2*G180))^2/('SITE DATA'!$F$27+(0.8*G180))</f>
        <v>1.5463917525773231E-2</v>
      </c>
      <c r="K180" s="586">
        <f t="shared" si="8"/>
        <v>97</v>
      </c>
      <c r="L180" s="394">
        <f>('SITE DATA'!$F$28-(0.2*G180))^2/('SITE DATA'!$F$28+(0.8*G180))</f>
        <v>1.5463917525773231E-2</v>
      </c>
      <c r="M180" s="586">
        <f t="shared" si="9"/>
        <v>97</v>
      </c>
    </row>
    <row r="181" spans="2:14" hidden="1" x14ac:dyDescent="0.2">
      <c r="B181" s="397"/>
      <c r="C181" s="507"/>
      <c r="D181" s="507"/>
      <c r="E181" s="507"/>
      <c r="F181" s="507"/>
      <c r="G181" s="393">
        <f t="shared" si="6"/>
        <v>0.20408163265306101</v>
      </c>
      <c r="H181" s="394">
        <f>('SITE DATA'!$F$26-(0.2*G181))^2/('SITE DATA'!$F$26+(0.8*G181))</f>
        <v>1.0204081632653052E-2</v>
      </c>
      <c r="I181" s="586">
        <f t="shared" si="7"/>
        <v>98</v>
      </c>
      <c r="J181" s="394">
        <f>('SITE DATA'!$F$27-(0.2*G181))^2/('SITE DATA'!$F$27+(0.8*G181))</f>
        <v>1.0204081632653052E-2</v>
      </c>
      <c r="K181" s="586">
        <f t="shared" si="8"/>
        <v>98</v>
      </c>
      <c r="L181" s="394">
        <f>('SITE DATA'!$F$28-(0.2*G181))^2/('SITE DATA'!$F$28+(0.8*G181))</f>
        <v>1.0204081632653052E-2</v>
      </c>
      <c r="M181" s="586">
        <f t="shared" si="9"/>
        <v>98</v>
      </c>
    </row>
    <row r="182" spans="2:14" hidden="1" x14ac:dyDescent="0.2">
      <c r="B182" s="397"/>
      <c r="C182" s="507"/>
      <c r="D182" s="507"/>
      <c r="E182" s="507"/>
      <c r="F182" s="507"/>
      <c r="G182" s="507"/>
      <c r="H182" s="507"/>
      <c r="I182" s="507"/>
      <c r="J182" s="507"/>
      <c r="K182" s="573"/>
      <c r="L182" s="507"/>
      <c r="M182" s="507"/>
      <c r="N182" s="507"/>
    </row>
    <row r="183" spans="2:14" hidden="1" x14ac:dyDescent="0.2">
      <c r="B183" s="397"/>
      <c r="C183" s="507"/>
      <c r="D183" s="507"/>
      <c r="E183" s="507"/>
      <c r="F183" s="507"/>
      <c r="G183" s="507"/>
      <c r="H183" s="507"/>
      <c r="I183" s="507"/>
      <c r="J183" s="507"/>
      <c r="K183" s="573"/>
      <c r="L183" s="507"/>
      <c r="M183" s="507"/>
      <c r="N183" s="507"/>
    </row>
    <row r="184" spans="2:14" hidden="1" x14ac:dyDescent="0.2">
      <c r="B184" s="397"/>
      <c r="C184" s="507"/>
      <c r="D184" s="507"/>
      <c r="E184" s="507"/>
      <c r="F184" s="507"/>
      <c r="G184" s="507"/>
      <c r="H184" s="507"/>
      <c r="I184" s="507"/>
      <c r="J184" s="507"/>
      <c r="K184" s="573"/>
      <c r="L184" s="507"/>
      <c r="M184" s="507"/>
      <c r="N184" s="507"/>
    </row>
    <row r="185" spans="2:14" hidden="1" x14ac:dyDescent="0.2">
      <c r="B185" s="397"/>
      <c r="C185" s="507"/>
      <c r="D185" s="507"/>
      <c r="E185" s="507"/>
      <c r="F185" s="507"/>
      <c r="G185" s="507"/>
      <c r="H185" s="507"/>
      <c r="I185" s="507"/>
      <c r="J185" s="507"/>
      <c r="K185" s="573"/>
      <c r="L185" s="507"/>
      <c r="M185" s="507"/>
      <c r="N185" s="507"/>
    </row>
    <row r="186" spans="2:14" hidden="1" x14ac:dyDescent="0.2">
      <c r="B186" s="397"/>
      <c r="C186" s="507"/>
      <c r="D186" s="507"/>
      <c r="E186" s="507"/>
      <c r="F186" s="507"/>
      <c r="G186" s="507"/>
      <c r="H186" s="507"/>
      <c r="I186" s="507"/>
      <c r="J186" s="507"/>
      <c r="K186" s="573"/>
      <c r="L186" s="507"/>
      <c r="M186" s="507"/>
      <c r="N186" s="507"/>
    </row>
    <row r="187" spans="2:14" hidden="1" x14ac:dyDescent="0.2">
      <c r="B187" s="397"/>
      <c r="C187" s="507"/>
      <c r="D187" s="507"/>
      <c r="E187" s="507"/>
      <c r="F187" s="507"/>
      <c r="G187" s="507"/>
      <c r="H187" s="507"/>
      <c r="I187" s="507"/>
      <c r="J187" s="507"/>
      <c r="K187" s="573"/>
      <c r="L187" s="507"/>
      <c r="M187" s="507"/>
      <c r="N187" s="507"/>
    </row>
    <row r="188" spans="2:14" hidden="1" x14ac:dyDescent="0.2">
      <c r="B188" s="397"/>
      <c r="C188" s="507"/>
      <c r="D188" s="507"/>
      <c r="E188" s="507"/>
      <c r="F188" s="507"/>
      <c r="G188" s="507"/>
      <c r="H188" s="507"/>
      <c r="I188" s="507"/>
      <c r="J188" s="507"/>
      <c r="K188" s="573"/>
      <c r="L188" s="507"/>
      <c r="M188" s="507"/>
      <c r="N188" s="507"/>
    </row>
    <row r="189" spans="2:14" hidden="1" x14ac:dyDescent="0.2">
      <c r="B189" s="397"/>
      <c r="C189" s="507"/>
      <c r="D189" s="507"/>
      <c r="E189" s="507"/>
      <c r="F189" s="507"/>
      <c r="G189" s="507"/>
      <c r="H189" s="507"/>
      <c r="I189" s="507"/>
      <c r="J189" s="507"/>
      <c r="K189" s="573"/>
      <c r="L189" s="507"/>
      <c r="M189" s="507"/>
      <c r="N189" s="507"/>
    </row>
    <row r="190" spans="2:14" hidden="1" x14ac:dyDescent="0.2">
      <c r="B190" s="397"/>
      <c r="C190" s="507"/>
      <c r="D190" s="507"/>
      <c r="E190" s="507"/>
      <c r="F190" s="507"/>
      <c r="G190" s="507"/>
      <c r="H190" s="507"/>
      <c r="I190" s="507"/>
      <c r="J190" s="507"/>
      <c r="K190" s="573"/>
      <c r="L190" s="507"/>
      <c r="M190" s="507"/>
      <c r="N190" s="507"/>
    </row>
    <row r="191" spans="2:14" hidden="1" x14ac:dyDescent="0.2">
      <c r="B191" s="397"/>
      <c r="C191" s="507"/>
      <c r="D191" s="507"/>
      <c r="E191" s="507"/>
      <c r="F191" s="507"/>
      <c r="G191" s="507"/>
      <c r="H191" s="507"/>
      <c r="I191" s="507"/>
      <c r="J191" s="507"/>
      <c r="K191" s="573"/>
      <c r="L191" s="507"/>
      <c r="M191" s="507"/>
      <c r="N191" s="507"/>
    </row>
    <row r="192" spans="2:14" hidden="1" x14ac:dyDescent="0.2">
      <c r="B192" s="397"/>
      <c r="C192" s="507"/>
      <c r="D192" s="507"/>
      <c r="E192" s="507"/>
      <c r="F192" s="507"/>
      <c r="G192" s="507"/>
      <c r="H192" s="507"/>
      <c r="I192" s="507"/>
      <c r="J192" s="507"/>
      <c r="K192" s="573"/>
      <c r="L192" s="507"/>
      <c r="M192" s="507"/>
      <c r="N192" s="507"/>
    </row>
    <row r="193" spans="1:27" hidden="1" x14ac:dyDescent="0.2">
      <c r="B193" s="397"/>
      <c r="C193" s="507"/>
      <c r="D193" s="507"/>
      <c r="E193" s="507"/>
      <c r="F193" s="507"/>
      <c r="G193" s="507"/>
      <c r="H193" s="507"/>
      <c r="I193" s="507"/>
      <c r="J193" s="507"/>
      <c r="K193" s="573"/>
      <c r="L193" s="507"/>
      <c r="M193" s="507"/>
      <c r="N193" s="507"/>
    </row>
    <row r="194" spans="1:27" hidden="1" x14ac:dyDescent="0.2">
      <c r="B194" s="397"/>
      <c r="C194" s="507"/>
      <c r="D194" s="507"/>
      <c r="E194" s="507"/>
      <c r="F194" s="507"/>
      <c r="G194" s="507"/>
      <c r="H194" s="507"/>
      <c r="I194" s="507"/>
      <c r="J194" s="507"/>
      <c r="K194" s="573"/>
      <c r="L194" s="507"/>
      <c r="M194" s="507"/>
      <c r="N194" s="507"/>
    </row>
    <row r="195" spans="1:27" hidden="1" x14ac:dyDescent="0.2">
      <c r="B195" s="397"/>
      <c r="C195" s="507"/>
      <c r="D195" s="507"/>
      <c r="E195" s="507"/>
      <c r="F195" s="507"/>
      <c r="G195" s="507"/>
      <c r="H195" s="507"/>
      <c r="I195" s="507"/>
      <c r="J195" s="507"/>
      <c r="K195" s="573"/>
      <c r="L195" s="507"/>
      <c r="M195" s="507"/>
      <c r="N195" s="507"/>
    </row>
    <row r="196" spans="1:27" hidden="1" x14ac:dyDescent="0.2">
      <c r="B196" s="397"/>
      <c r="C196" s="507"/>
      <c r="D196" s="507"/>
      <c r="E196" s="507"/>
      <c r="F196" s="507"/>
      <c r="G196" s="507"/>
      <c r="H196" s="507"/>
      <c r="I196" s="507"/>
      <c r="J196" s="507"/>
      <c r="K196" s="573"/>
      <c r="L196" s="507"/>
      <c r="M196" s="507"/>
      <c r="N196" s="507"/>
    </row>
    <row r="197" spans="1:27" hidden="1" x14ac:dyDescent="0.2">
      <c r="B197" s="507"/>
      <c r="C197" s="507"/>
      <c r="D197" s="507"/>
      <c r="E197" s="507"/>
      <c r="F197" s="507"/>
      <c r="G197" s="507"/>
      <c r="H197" s="507"/>
      <c r="I197" s="507"/>
      <c r="J197" s="507"/>
      <c r="K197" s="573"/>
      <c r="L197" s="507"/>
      <c r="M197" s="507"/>
      <c r="N197" s="507"/>
    </row>
    <row r="198" spans="1:27" hidden="1" x14ac:dyDescent="0.2">
      <c r="B198" s="507"/>
      <c r="C198" s="507"/>
      <c r="D198" s="507"/>
      <c r="E198" s="507"/>
      <c r="F198" s="507"/>
      <c r="G198" s="507"/>
      <c r="H198" s="507"/>
      <c r="I198" s="507"/>
      <c r="J198" s="507"/>
      <c r="K198" s="573"/>
      <c r="L198" s="507"/>
      <c r="M198" s="507"/>
      <c r="N198" s="507"/>
    </row>
    <row r="199" spans="1:27" hidden="1" x14ac:dyDescent="0.2">
      <c r="B199" s="507"/>
      <c r="C199" s="507"/>
      <c r="D199" s="507"/>
      <c r="E199" s="507"/>
      <c r="F199" s="507"/>
      <c r="G199" s="507"/>
      <c r="H199" s="507"/>
      <c r="I199" s="507"/>
      <c r="J199" s="507"/>
      <c r="K199" s="573"/>
      <c r="L199" s="507"/>
      <c r="M199" s="507"/>
      <c r="N199" s="507"/>
    </row>
    <row r="200" spans="1:27" hidden="1" x14ac:dyDescent="0.2">
      <c r="B200" s="507"/>
      <c r="C200" s="507"/>
      <c r="D200" s="507"/>
      <c r="E200" s="507"/>
      <c r="F200" s="507"/>
      <c r="G200" s="507"/>
      <c r="H200" s="507"/>
      <c r="I200" s="507"/>
      <c r="J200" s="507"/>
      <c r="K200" s="573"/>
      <c r="L200" s="507"/>
      <c r="M200" s="507"/>
      <c r="N200" s="507"/>
    </row>
    <row r="201" spans="1:27" hidden="1" x14ac:dyDescent="0.2">
      <c r="B201" s="507"/>
      <c r="C201" s="507"/>
      <c r="D201" s="507"/>
      <c r="E201" s="507"/>
      <c r="F201" s="507"/>
      <c r="G201" s="507"/>
      <c r="H201" s="507"/>
      <c r="I201" s="507"/>
      <c r="J201" s="507"/>
      <c r="K201" s="573"/>
      <c r="L201" s="507"/>
      <c r="M201" s="507"/>
      <c r="N201" s="507"/>
    </row>
    <row r="202" spans="1:27" hidden="1" x14ac:dyDescent="0.2">
      <c r="B202" s="507"/>
      <c r="C202" s="507"/>
      <c r="D202" s="507"/>
      <c r="E202" s="507"/>
      <c r="F202" s="507"/>
      <c r="G202" s="507"/>
      <c r="H202" s="507"/>
      <c r="I202" s="507"/>
      <c r="J202" s="507"/>
      <c r="K202" s="573"/>
      <c r="L202" s="507"/>
      <c r="M202" s="507"/>
      <c r="N202" s="507"/>
    </row>
    <row r="203" spans="1:27" hidden="1" x14ac:dyDescent="0.2">
      <c r="B203" s="507"/>
      <c r="C203" s="507"/>
      <c r="D203" s="507"/>
      <c r="E203" s="507"/>
      <c r="F203" s="507"/>
      <c r="G203" s="507"/>
      <c r="H203" s="507"/>
      <c r="I203" s="507"/>
      <c r="J203" s="507"/>
      <c r="K203" s="573"/>
      <c r="L203" s="507"/>
      <c r="M203" s="507"/>
      <c r="N203" s="507"/>
    </row>
    <row r="204" spans="1:27" hidden="1" x14ac:dyDescent="0.2">
      <c r="B204" s="507"/>
      <c r="C204" s="507"/>
      <c r="D204" s="507"/>
      <c r="E204" s="507"/>
      <c r="F204" s="507"/>
      <c r="G204" s="507"/>
      <c r="H204" s="507"/>
      <c r="I204" s="507"/>
      <c r="J204" s="507"/>
      <c r="K204" s="573"/>
      <c r="L204" s="507"/>
      <c r="M204" s="507"/>
      <c r="N204" s="507"/>
    </row>
    <row r="205" spans="1:27" hidden="1" x14ac:dyDescent="0.2">
      <c r="B205" s="507"/>
      <c r="C205" s="507"/>
      <c r="D205" s="507"/>
      <c r="E205" s="507"/>
      <c r="F205" s="507"/>
      <c r="G205" s="507"/>
      <c r="H205" s="507"/>
      <c r="I205" s="507"/>
      <c r="J205" s="507"/>
      <c r="K205" s="573"/>
      <c r="L205" s="507"/>
      <c r="M205" s="507"/>
      <c r="N205" s="507"/>
    </row>
    <row r="206" spans="1:27" ht="15.75" hidden="1" x14ac:dyDescent="0.2">
      <c r="B206" s="576"/>
      <c r="C206" s="576"/>
      <c r="D206" s="576"/>
      <c r="E206" s="576"/>
      <c r="F206" s="577"/>
      <c r="G206" s="577"/>
      <c r="H206" s="577"/>
      <c r="I206" s="577"/>
      <c r="J206" s="577"/>
      <c r="K206" s="577"/>
      <c r="L206" s="577"/>
      <c r="M206" s="577"/>
      <c r="N206" s="507"/>
      <c r="Z206" s="507"/>
      <c r="AA206" s="507"/>
    </row>
    <row r="207" spans="1:27" s="523" customFormat="1" x14ac:dyDescent="0.2">
      <c r="A207" s="737" t="s">
        <v>449</v>
      </c>
      <c r="B207" s="737"/>
      <c r="C207" s="737"/>
      <c r="D207" s="737"/>
      <c r="E207" s="737"/>
      <c r="F207" s="737"/>
      <c r="G207" s="737"/>
      <c r="H207" s="737"/>
      <c r="I207" s="737"/>
      <c r="J207" s="737"/>
      <c r="K207" s="737"/>
      <c r="L207" s="737"/>
      <c r="M207" s="507"/>
    </row>
    <row r="208" spans="1:27" x14ac:dyDescent="0.2">
      <c r="A208" s="737"/>
      <c r="B208" s="737"/>
      <c r="C208" s="737"/>
      <c r="D208" s="737"/>
      <c r="E208" s="737"/>
      <c r="F208" s="737"/>
      <c r="G208" s="737"/>
      <c r="H208" s="737"/>
      <c r="I208" s="737"/>
      <c r="J208" s="737"/>
      <c r="K208" s="737"/>
      <c r="L208" s="737"/>
      <c r="M208" s="507"/>
      <c r="N208" s="507"/>
      <c r="Z208" s="507"/>
    </row>
    <row r="209" spans="1:26" ht="15.75" x14ac:dyDescent="0.2">
      <c r="A209" s="738" t="s">
        <v>436</v>
      </c>
      <c r="B209" s="738"/>
      <c r="C209" s="738"/>
      <c r="D209" s="738"/>
      <c r="E209" s="738"/>
      <c r="F209" s="738"/>
      <c r="G209" s="738"/>
      <c r="H209" s="738"/>
      <c r="I209" s="738"/>
      <c r="J209" s="738"/>
      <c r="K209" s="738"/>
      <c r="L209" s="738"/>
      <c r="M209" s="507"/>
      <c r="N209" s="507"/>
      <c r="Z209" s="507"/>
    </row>
    <row r="210" spans="1:26" x14ac:dyDescent="0.2">
      <c r="A210" s="737" t="s">
        <v>450</v>
      </c>
      <c r="B210" s="737"/>
      <c r="C210" s="737"/>
      <c r="D210" s="737"/>
      <c r="E210" s="737"/>
      <c r="F210" s="737"/>
      <c r="G210" s="737"/>
      <c r="H210" s="737"/>
      <c r="I210" s="737"/>
      <c r="J210" s="737"/>
      <c r="K210" s="737"/>
      <c r="L210" s="737"/>
      <c r="M210" s="507"/>
      <c r="N210" s="507"/>
      <c r="Z210" s="507"/>
    </row>
    <row r="211" spans="1:26" x14ac:dyDescent="0.2">
      <c r="A211" s="737"/>
      <c r="B211" s="737"/>
      <c r="C211" s="737"/>
      <c r="D211" s="737"/>
      <c r="E211" s="737"/>
      <c r="F211" s="737"/>
      <c r="G211" s="737"/>
      <c r="H211" s="737"/>
      <c r="I211" s="737"/>
      <c r="J211" s="737"/>
      <c r="K211" s="737"/>
      <c r="L211" s="737"/>
      <c r="M211" s="507"/>
      <c r="N211" s="507"/>
      <c r="Z211" s="507"/>
    </row>
    <row r="212" spans="1:26" ht="15.75" x14ac:dyDescent="0.2">
      <c r="A212" s="738" t="s">
        <v>436</v>
      </c>
      <c r="B212" s="738"/>
      <c r="C212" s="738"/>
      <c r="D212" s="738"/>
      <c r="E212" s="738"/>
      <c r="F212" s="738"/>
      <c r="G212" s="738"/>
      <c r="H212" s="738"/>
      <c r="I212" s="738"/>
      <c r="J212" s="738"/>
      <c r="K212" s="738"/>
      <c r="L212" s="738"/>
      <c r="M212" s="507"/>
      <c r="N212" s="507"/>
      <c r="Z212" s="507"/>
    </row>
    <row r="213" spans="1:26" x14ac:dyDescent="0.2">
      <c r="A213" s="737" t="s">
        <v>451</v>
      </c>
      <c r="B213" s="737"/>
      <c r="C213" s="737"/>
      <c r="D213" s="737"/>
      <c r="E213" s="737"/>
      <c r="F213" s="737"/>
      <c r="G213" s="737"/>
      <c r="H213" s="737"/>
      <c r="I213" s="737"/>
      <c r="J213" s="737"/>
      <c r="K213" s="737"/>
      <c r="L213" s="737"/>
      <c r="M213" s="507"/>
      <c r="N213" s="507"/>
      <c r="Z213" s="507"/>
    </row>
    <row r="214" spans="1:26" x14ac:dyDescent="0.2">
      <c r="A214" s="737"/>
      <c r="B214" s="737"/>
      <c r="C214" s="737"/>
      <c r="D214" s="737"/>
      <c r="E214" s="737"/>
      <c r="F214" s="737"/>
      <c r="G214" s="737"/>
      <c r="H214" s="737"/>
      <c r="I214" s="737"/>
      <c r="J214" s="737"/>
      <c r="K214" s="737"/>
      <c r="L214" s="737"/>
      <c r="M214" s="507"/>
      <c r="N214" s="507"/>
      <c r="Z214" s="507"/>
    </row>
    <row r="215" spans="1:26" x14ac:dyDescent="0.2">
      <c r="B215" s="507"/>
      <c r="C215" s="507"/>
      <c r="D215" s="507"/>
      <c r="E215" s="507"/>
      <c r="F215" s="507"/>
      <c r="G215" s="507"/>
      <c r="H215" s="507"/>
      <c r="I215" s="507"/>
      <c r="J215" s="507"/>
      <c r="K215" s="573"/>
      <c r="L215" s="507"/>
      <c r="M215" s="507"/>
      <c r="N215" s="507"/>
    </row>
    <row r="216" spans="1:26" x14ac:dyDescent="0.2">
      <c r="B216" s="507"/>
      <c r="C216" s="507"/>
      <c r="D216" s="507"/>
      <c r="E216" s="507"/>
      <c r="F216" s="507"/>
      <c r="G216" s="507"/>
      <c r="H216" s="507"/>
      <c r="I216" s="507"/>
      <c r="J216" s="507"/>
      <c r="K216" s="573"/>
      <c r="L216" s="507"/>
      <c r="M216" s="507"/>
      <c r="N216" s="507"/>
    </row>
    <row r="217" spans="1:26" x14ac:dyDescent="0.2">
      <c r="B217" s="507"/>
      <c r="C217" s="507"/>
      <c r="D217" s="507"/>
      <c r="E217" s="507"/>
      <c r="F217" s="507"/>
      <c r="G217" s="507"/>
      <c r="H217" s="507"/>
      <c r="I217" s="507"/>
      <c r="J217" s="507"/>
      <c r="K217" s="573"/>
      <c r="L217" s="507"/>
      <c r="M217" s="507"/>
      <c r="N217" s="507"/>
    </row>
    <row r="218" spans="1:26" x14ac:dyDescent="0.2">
      <c r="B218" s="507"/>
      <c r="C218" s="507"/>
      <c r="D218" s="507"/>
      <c r="E218" s="507"/>
      <c r="F218" s="507"/>
      <c r="G218" s="507"/>
      <c r="H218" s="507"/>
      <c r="I218" s="507"/>
      <c r="J218" s="507"/>
      <c r="K218" s="573"/>
      <c r="L218" s="507"/>
      <c r="M218" s="507"/>
      <c r="N218" s="507"/>
    </row>
    <row r="219" spans="1:26" x14ac:dyDescent="0.2">
      <c r="B219" s="507"/>
      <c r="C219" s="507"/>
      <c r="D219" s="507"/>
      <c r="E219" s="507"/>
      <c r="F219" s="507"/>
      <c r="G219" s="507"/>
      <c r="H219" s="507"/>
      <c r="I219" s="507"/>
      <c r="J219" s="507"/>
      <c r="K219" s="573"/>
      <c r="L219" s="507"/>
      <c r="M219" s="507"/>
      <c r="N219" s="507"/>
    </row>
    <row r="220" spans="1:26" x14ac:dyDescent="0.2">
      <c r="B220" s="507"/>
      <c r="C220" s="507"/>
      <c r="D220" s="507"/>
      <c r="E220" s="507"/>
      <c r="F220" s="507"/>
      <c r="G220" s="507"/>
      <c r="H220" s="507"/>
      <c r="I220" s="507"/>
      <c r="J220" s="507"/>
      <c r="K220" s="573"/>
      <c r="L220" s="507"/>
      <c r="M220" s="507"/>
      <c r="N220" s="507"/>
    </row>
    <row r="221" spans="1:26" x14ac:dyDescent="0.2">
      <c r="B221" s="507"/>
      <c r="C221" s="507"/>
      <c r="D221" s="507"/>
      <c r="E221" s="507"/>
      <c r="F221" s="507"/>
      <c r="G221" s="507"/>
      <c r="H221" s="507"/>
      <c r="I221" s="507"/>
      <c r="J221" s="507"/>
      <c r="K221" s="573"/>
      <c r="L221" s="507"/>
      <c r="M221" s="507"/>
      <c r="N221" s="507"/>
    </row>
    <row r="222" spans="1:26" x14ac:dyDescent="0.2">
      <c r="B222" s="507"/>
      <c r="C222" s="507"/>
      <c r="D222" s="507"/>
      <c r="E222" s="507"/>
      <c r="F222" s="507"/>
      <c r="G222" s="507"/>
      <c r="H222" s="507"/>
      <c r="I222" s="507"/>
      <c r="J222" s="507"/>
      <c r="K222" s="573"/>
      <c r="L222" s="507"/>
      <c r="M222" s="507"/>
      <c r="N222" s="507"/>
    </row>
    <row r="223" spans="1:26" x14ac:dyDescent="0.2">
      <c r="B223" s="507"/>
      <c r="C223" s="507"/>
      <c r="D223" s="507"/>
      <c r="E223" s="507"/>
      <c r="F223" s="507"/>
      <c r="G223" s="507"/>
      <c r="H223" s="507"/>
      <c r="I223" s="507"/>
      <c r="J223" s="507"/>
      <c r="K223" s="573"/>
      <c r="L223" s="507"/>
      <c r="M223" s="507"/>
      <c r="N223" s="507"/>
    </row>
    <row r="224" spans="1:26" x14ac:dyDescent="0.2">
      <c r="B224" s="507"/>
      <c r="C224" s="507"/>
      <c r="D224" s="507"/>
      <c r="E224" s="507"/>
      <c r="F224" s="507"/>
      <c r="G224" s="507"/>
      <c r="H224" s="507"/>
      <c r="I224" s="507"/>
      <c r="J224" s="507"/>
      <c r="K224" s="573"/>
      <c r="L224" s="507"/>
      <c r="M224" s="507"/>
      <c r="N224" s="507"/>
    </row>
    <row r="225" spans="2:14" x14ac:dyDescent="0.2">
      <c r="B225" s="507"/>
      <c r="C225" s="507"/>
      <c r="D225" s="507"/>
      <c r="E225" s="507"/>
      <c r="F225" s="507"/>
      <c r="G225" s="507"/>
      <c r="H225" s="507"/>
      <c r="I225" s="507"/>
      <c r="J225" s="507"/>
      <c r="K225" s="573"/>
      <c r="L225" s="507"/>
      <c r="M225" s="507"/>
      <c r="N225" s="507"/>
    </row>
    <row r="226" spans="2:14" x14ac:dyDescent="0.2">
      <c r="B226" s="507"/>
      <c r="C226" s="507"/>
      <c r="D226" s="507"/>
      <c r="E226" s="507"/>
      <c r="F226" s="507"/>
      <c r="G226" s="507"/>
      <c r="H226" s="507"/>
      <c r="I226" s="507"/>
      <c r="J226" s="507"/>
      <c r="K226" s="573"/>
      <c r="L226" s="507"/>
      <c r="M226" s="507"/>
      <c r="N226" s="507"/>
    </row>
    <row r="227" spans="2:14" x14ac:dyDescent="0.2">
      <c r="B227" s="507"/>
      <c r="C227" s="507"/>
      <c r="D227" s="507"/>
      <c r="E227" s="507"/>
      <c r="F227" s="507"/>
      <c r="G227" s="507"/>
      <c r="H227" s="507"/>
      <c r="I227" s="507"/>
      <c r="J227" s="507"/>
      <c r="K227" s="573"/>
      <c r="L227" s="507"/>
      <c r="M227" s="507"/>
      <c r="N227" s="507"/>
    </row>
    <row r="228" spans="2:14" x14ac:dyDescent="0.2">
      <c r="B228" s="507"/>
      <c r="C228" s="507"/>
      <c r="D228" s="507"/>
      <c r="E228" s="507"/>
      <c r="F228" s="507"/>
      <c r="G228" s="507"/>
      <c r="H228" s="507"/>
      <c r="I228" s="507"/>
      <c r="J228" s="507"/>
      <c r="K228" s="573"/>
      <c r="L228" s="507"/>
      <c r="M228" s="507"/>
      <c r="N228" s="507"/>
    </row>
    <row r="229" spans="2:14" x14ac:dyDescent="0.2">
      <c r="B229" s="507"/>
      <c r="C229" s="507"/>
      <c r="D229" s="507"/>
      <c r="E229" s="507"/>
      <c r="F229" s="507"/>
      <c r="G229" s="507"/>
      <c r="H229" s="507"/>
      <c r="I229" s="507"/>
      <c r="J229" s="507"/>
      <c r="K229" s="573"/>
      <c r="L229" s="507"/>
      <c r="M229" s="507"/>
      <c r="N229" s="507"/>
    </row>
    <row r="230" spans="2:14" x14ac:dyDescent="0.2">
      <c r="B230" s="507"/>
      <c r="C230" s="507"/>
      <c r="D230" s="507"/>
      <c r="E230" s="507"/>
      <c r="F230" s="507"/>
      <c r="G230" s="507"/>
      <c r="H230" s="507"/>
      <c r="I230" s="507"/>
      <c r="J230" s="507"/>
      <c r="K230" s="573"/>
      <c r="L230" s="507"/>
      <c r="M230" s="507"/>
      <c r="N230" s="507"/>
    </row>
    <row r="231" spans="2:14" x14ac:dyDescent="0.2">
      <c r="B231" s="507"/>
      <c r="C231" s="507"/>
      <c r="D231" s="507"/>
      <c r="E231" s="507"/>
      <c r="F231" s="507"/>
      <c r="G231" s="507"/>
      <c r="H231" s="507"/>
      <c r="I231" s="507"/>
      <c r="J231" s="507"/>
      <c r="K231" s="573"/>
      <c r="L231" s="507"/>
      <c r="M231" s="507"/>
      <c r="N231" s="507"/>
    </row>
    <row r="232" spans="2:14" x14ac:dyDescent="0.2">
      <c r="B232" s="507"/>
      <c r="C232" s="507"/>
      <c r="D232" s="507"/>
      <c r="E232" s="507"/>
      <c r="F232" s="507"/>
      <c r="G232" s="507"/>
      <c r="H232" s="507"/>
      <c r="I232" s="507"/>
      <c r="J232" s="507"/>
      <c r="K232" s="573"/>
      <c r="L232" s="507"/>
      <c r="M232" s="507"/>
      <c r="N232" s="507"/>
    </row>
    <row r="233" spans="2:14" s="507" customFormat="1" x14ac:dyDescent="0.2">
      <c r="K233" s="573"/>
    </row>
    <row r="234" spans="2:14" s="507" customFormat="1" x14ac:dyDescent="0.2">
      <c r="K234" s="573"/>
    </row>
    <row r="235" spans="2:14" s="507" customFormat="1" x14ac:dyDescent="0.2">
      <c r="K235" s="573"/>
    </row>
    <row r="236" spans="2:14" s="507" customFormat="1" x14ac:dyDescent="0.2">
      <c r="K236" s="573"/>
    </row>
    <row r="237" spans="2:14" s="507" customFormat="1" x14ac:dyDescent="0.2">
      <c r="K237" s="573"/>
    </row>
    <row r="238" spans="2:14" s="507" customFormat="1" x14ac:dyDescent="0.2">
      <c r="K238" s="573"/>
    </row>
    <row r="239" spans="2:14" s="507" customFormat="1" x14ac:dyDescent="0.2">
      <c r="K239" s="573"/>
    </row>
    <row r="240" spans="2:14" s="507" customFormat="1" x14ac:dyDescent="0.2">
      <c r="K240" s="573"/>
    </row>
    <row r="241" spans="11:11" s="507" customFormat="1" x14ac:dyDescent="0.2">
      <c r="K241" s="573"/>
    </row>
    <row r="242" spans="11:11" s="507" customFormat="1" x14ac:dyDescent="0.2">
      <c r="K242" s="573"/>
    </row>
    <row r="243" spans="11:11" s="507" customFormat="1" x14ac:dyDescent="0.2">
      <c r="K243" s="573"/>
    </row>
    <row r="244" spans="11:11" s="507" customFormat="1" x14ac:dyDescent="0.2">
      <c r="K244" s="573"/>
    </row>
    <row r="245" spans="11:11" s="507" customFormat="1" x14ac:dyDescent="0.2">
      <c r="K245" s="573"/>
    </row>
    <row r="246" spans="11:11" s="507" customFormat="1" x14ac:dyDescent="0.2">
      <c r="K246" s="573"/>
    </row>
    <row r="247" spans="11:11" s="507" customFormat="1" x14ac:dyDescent="0.2">
      <c r="K247" s="573"/>
    </row>
    <row r="248" spans="11:11" s="507" customFormat="1" x14ac:dyDescent="0.2">
      <c r="K248" s="573"/>
    </row>
    <row r="249" spans="11:11" s="507" customFormat="1" x14ac:dyDescent="0.2">
      <c r="K249" s="573"/>
    </row>
    <row r="250" spans="11:11" s="507" customFormat="1" x14ac:dyDescent="0.2">
      <c r="K250" s="573"/>
    </row>
    <row r="251" spans="11:11" s="507" customFormat="1" x14ac:dyDescent="0.2">
      <c r="K251" s="573"/>
    </row>
    <row r="252" spans="11:11" s="507" customFormat="1" x14ac:dyDescent="0.2">
      <c r="K252" s="573"/>
    </row>
    <row r="253" spans="11:11" s="507" customFormat="1" x14ac:dyDescent="0.2">
      <c r="K253" s="573"/>
    </row>
    <row r="254" spans="11:11" s="507" customFormat="1" x14ac:dyDescent="0.2">
      <c r="K254" s="573"/>
    </row>
    <row r="255" spans="11:11" s="507" customFormat="1" x14ac:dyDescent="0.2">
      <c r="K255" s="573"/>
    </row>
    <row r="256" spans="11:11" s="507" customFormat="1" x14ac:dyDescent="0.2">
      <c r="K256" s="573"/>
    </row>
    <row r="257" spans="11:11" s="507" customFormat="1" x14ac:dyDescent="0.2">
      <c r="K257" s="573"/>
    </row>
    <row r="258" spans="11:11" s="507" customFormat="1" x14ac:dyDescent="0.2">
      <c r="K258" s="573"/>
    </row>
    <row r="259" spans="11:11" s="507" customFormat="1" x14ac:dyDescent="0.2">
      <c r="K259" s="573"/>
    </row>
    <row r="260" spans="11:11" s="507" customFormat="1" x14ac:dyDescent="0.2">
      <c r="K260" s="573"/>
    </row>
    <row r="261" spans="11:11" s="507" customFormat="1" x14ac:dyDescent="0.2">
      <c r="K261" s="573"/>
    </row>
    <row r="262" spans="11:11" s="507" customFormat="1" x14ac:dyDescent="0.2">
      <c r="K262" s="573"/>
    </row>
    <row r="263" spans="11:11" s="507" customFormat="1" x14ac:dyDescent="0.2">
      <c r="K263" s="573"/>
    </row>
    <row r="264" spans="11:11" s="507" customFormat="1" x14ac:dyDescent="0.2">
      <c r="K264" s="573"/>
    </row>
    <row r="265" spans="11:11" s="507" customFormat="1" x14ac:dyDescent="0.2">
      <c r="K265" s="573"/>
    </row>
    <row r="266" spans="11:11" s="507" customFormat="1" x14ac:dyDescent="0.2">
      <c r="K266" s="573"/>
    </row>
    <row r="267" spans="11:11" s="507" customFormat="1" x14ac:dyDescent="0.2">
      <c r="K267" s="573"/>
    </row>
    <row r="268" spans="11:11" s="507" customFormat="1" x14ac:dyDescent="0.2">
      <c r="K268" s="573"/>
    </row>
    <row r="269" spans="11:11" s="507" customFormat="1" x14ac:dyDescent="0.2">
      <c r="K269" s="573"/>
    </row>
    <row r="270" spans="11:11" s="507" customFormat="1" x14ac:dyDescent="0.2">
      <c r="K270" s="573"/>
    </row>
    <row r="271" spans="11:11" s="507" customFormat="1" x14ac:dyDescent="0.2">
      <c r="K271" s="573"/>
    </row>
    <row r="272" spans="11:11" s="507" customFormat="1" x14ac:dyDescent="0.2">
      <c r="K272" s="573"/>
    </row>
    <row r="273" spans="11:11" s="507" customFormat="1" x14ac:dyDescent="0.2">
      <c r="K273" s="573"/>
    </row>
    <row r="274" spans="11:11" s="507" customFormat="1" x14ac:dyDescent="0.2">
      <c r="K274" s="573"/>
    </row>
    <row r="275" spans="11:11" s="507" customFormat="1" x14ac:dyDescent="0.2">
      <c r="K275" s="573"/>
    </row>
    <row r="276" spans="11:11" s="507" customFormat="1" x14ac:dyDescent="0.2">
      <c r="K276" s="573"/>
    </row>
    <row r="277" spans="11:11" s="507" customFormat="1" x14ac:dyDescent="0.2">
      <c r="K277" s="573"/>
    </row>
    <row r="278" spans="11:11" s="507" customFormat="1" x14ac:dyDescent="0.2">
      <c r="K278" s="573"/>
    </row>
    <row r="279" spans="11:11" s="507" customFormat="1" x14ac:dyDescent="0.2">
      <c r="K279" s="573"/>
    </row>
    <row r="280" spans="11:11" s="507" customFormat="1" x14ac:dyDescent="0.2">
      <c r="K280" s="573"/>
    </row>
    <row r="281" spans="11:11" s="507" customFormat="1" x14ac:dyDescent="0.2">
      <c r="K281" s="573"/>
    </row>
    <row r="282" spans="11:11" s="507" customFormat="1" x14ac:dyDescent="0.2">
      <c r="K282" s="573"/>
    </row>
    <row r="283" spans="11:11" s="507" customFormat="1" x14ac:dyDescent="0.2">
      <c r="K283" s="573"/>
    </row>
    <row r="284" spans="11:11" s="507" customFormat="1" x14ac:dyDescent="0.2">
      <c r="K284" s="573"/>
    </row>
    <row r="285" spans="11:11" s="507" customFormat="1" x14ac:dyDescent="0.2">
      <c r="K285" s="573"/>
    </row>
    <row r="286" spans="11:11" s="507" customFormat="1" x14ac:dyDescent="0.2">
      <c r="K286" s="573"/>
    </row>
    <row r="287" spans="11:11" s="507" customFormat="1" x14ac:dyDescent="0.2">
      <c r="K287" s="573"/>
    </row>
    <row r="288" spans="11:11" s="507" customFormat="1" x14ac:dyDescent="0.2">
      <c r="K288" s="573"/>
    </row>
    <row r="289" spans="11:11" s="507" customFormat="1" x14ac:dyDescent="0.2">
      <c r="K289" s="573"/>
    </row>
    <row r="290" spans="11:11" s="507" customFormat="1" x14ac:dyDescent="0.2">
      <c r="K290" s="573"/>
    </row>
    <row r="291" spans="11:11" s="507" customFormat="1" x14ac:dyDescent="0.2">
      <c r="K291" s="573"/>
    </row>
    <row r="292" spans="11:11" s="507" customFormat="1" x14ac:dyDescent="0.2">
      <c r="K292" s="573"/>
    </row>
    <row r="293" spans="11:11" s="507" customFormat="1" x14ac:dyDescent="0.2">
      <c r="K293" s="573"/>
    </row>
    <row r="294" spans="11:11" s="507" customFormat="1" x14ac:dyDescent="0.2">
      <c r="K294" s="573"/>
    </row>
    <row r="295" spans="11:11" s="507" customFormat="1" x14ac:dyDescent="0.2">
      <c r="K295" s="573"/>
    </row>
    <row r="296" spans="11:11" s="507" customFormat="1" x14ac:dyDescent="0.2">
      <c r="K296" s="573"/>
    </row>
    <row r="297" spans="11:11" s="507" customFormat="1" x14ac:dyDescent="0.2">
      <c r="K297" s="573"/>
    </row>
    <row r="298" spans="11:11" s="507" customFormat="1" x14ac:dyDescent="0.2">
      <c r="K298" s="573"/>
    </row>
    <row r="299" spans="11:11" s="507" customFormat="1" x14ac:dyDescent="0.2">
      <c r="K299" s="573"/>
    </row>
    <row r="300" spans="11:11" s="507" customFormat="1" x14ac:dyDescent="0.2">
      <c r="K300" s="573"/>
    </row>
    <row r="301" spans="11:11" s="507" customFormat="1" x14ac:dyDescent="0.2">
      <c r="K301" s="573"/>
    </row>
    <row r="302" spans="11:11" s="507" customFormat="1" x14ac:dyDescent="0.2">
      <c r="K302" s="573"/>
    </row>
    <row r="303" spans="11:11" s="507" customFormat="1" x14ac:dyDescent="0.2">
      <c r="K303" s="573"/>
    </row>
    <row r="304" spans="11:11" s="507" customFormat="1" x14ac:dyDescent="0.2">
      <c r="K304" s="573"/>
    </row>
    <row r="305" spans="11:11" s="507" customFormat="1" x14ac:dyDescent="0.2">
      <c r="K305" s="573"/>
    </row>
    <row r="306" spans="11:11" s="507" customFormat="1" x14ac:dyDescent="0.2">
      <c r="K306" s="573"/>
    </row>
    <row r="307" spans="11:11" s="507" customFormat="1" x14ac:dyDescent="0.2">
      <c r="K307" s="573"/>
    </row>
    <row r="308" spans="11:11" s="507" customFormat="1" x14ac:dyDescent="0.2">
      <c r="K308" s="573"/>
    </row>
    <row r="309" spans="11:11" s="507" customFormat="1" x14ac:dyDescent="0.2">
      <c r="K309" s="573"/>
    </row>
    <row r="310" spans="11:11" s="507" customFormat="1" x14ac:dyDescent="0.2">
      <c r="K310" s="573"/>
    </row>
    <row r="311" spans="11:11" s="507" customFormat="1" x14ac:dyDescent="0.2">
      <c r="K311" s="573"/>
    </row>
    <row r="312" spans="11:11" s="507" customFormat="1" x14ac:dyDescent="0.2">
      <c r="K312" s="573"/>
    </row>
    <row r="313" spans="11:11" s="507" customFormat="1" x14ac:dyDescent="0.2">
      <c r="K313" s="573"/>
    </row>
    <row r="314" spans="11:11" s="507" customFormat="1" x14ac:dyDescent="0.2">
      <c r="K314" s="573"/>
    </row>
    <row r="315" spans="11:11" s="507" customFormat="1" x14ac:dyDescent="0.2">
      <c r="K315" s="573"/>
    </row>
    <row r="316" spans="11:11" s="507" customFormat="1" x14ac:dyDescent="0.2">
      <c r="K316" s="573"/>
    </row>
    <row r="317" spans="11:11" s="507" customFormat="1" x14ac:dyDescent="0.2">
      <c r="K317" s="573"/>
    </row>
    <row r="318" spans="11:11" s="507" customFormat="1" x14ac:dyDescent="0.2">
      <c r="K318" s="573"/>
    </row>
    <row r="319" spans="11:11" s="507" customFormat="1" x14ac:dyDescent="0.2">
      <c r="K319" s="573"/>
    </row>
    <row r="320" spans="11:11" s="507" customFormat="1" x14ac:dyDescent="0.2">
      <c r="K320" s="573"/>
    </row>
    <row r="321" spans="11:11" s="507" customFormat="1" x14ac:dyDescent="0.2">
      <c r="K321" s="573"/>
    </row>
    <row r="322" spans="11:11" s="507" customFormat="1" x14ac:dyDescent="0.2">
      <c r="K322" s="573"/>
    </row>
    <row r="323" spans="11:11" s="507" customFormat="1" x14ac:dyDescent="0.2">
      <c r="K323" s="573"/>
    </row>
    <row r="324" spans="11:11" s="507" customFormat="1" x14ac:dyDescent="0.2">
      <c r="K324" s="573"/>
    </row>
    <row r="325" spans="11:11" s="507" customFormat="1" x14ac:dyDescent="0.2">
      <c r="K325" s="573"/>
    </row>
    <row r="326" spans="11:11" s="507" customFormat="1" x14ac:dyDescent="0.2">
      <c r="K326" s="573"/>
    </row>
    <row r="327" spans="11:11" s="507" customFormat="1" x14ac:dyDescent="0.2">
      <c r="K327" s="573"/>
    </row>
    <row r="328" spans="11:11" s="507" customFormat="1" x14ac:dyDescent="0.2">
      <c r="K328" s="573"/>
    </row>
    <row r="329" spans="11:11" s="507" customFormat="1" x14ac:dyDescent="0.2">
      <c r="K329" s="573"/>
    </row>
    <row r="330" spans="11:11" s="507" customFormat="1" x14ac:dyDescent="0.2">
      <c r="K330" s="573"/>
    </row>
    <row r="331" spans="11:11" s="507" customFormat="1" x14ac:dyDescent="0.2">
      <c r="K331" s="573"/>
    </row>
    <row r="332" spans="11:11" s="507" customFormat="1" x14ac:dyDescent="0.2">
      <c r="K332" s="573"/>
    </row>
    <row r="333" spans="11:11" s="507" customFormat="1" x14ac:dyDescent="0.2">
      <c r="K333" s="573"/>
    </row>
    <row r="334" spans="11:11" s="507" customFormat="1" x14ac:dyDescent="0.2">
      <c r="K334" s="573"/>
    </row>
    <row r="335" spans="11:11" s="507" customFormat="1" x14ac:dyDescent="0.2">
      <c r="K335" s="573"/>
    </row>
    <row r="336" spans="11:11" s="507" customFormat="1" x14ac:dyDescent="0.2">
      <c r="K336" s="573"/>
    </row>
    <row r="337" spans="11:11" s="507" customFormat="1" x14ac:dyDescent="0.2">
      <c r="K337" s="573"/>
    </row>
    <row r="338" spans="11:11" s="507" customFormat="1" x14ac:dyDescent="0.2">
      <c r="K338" s="573"/>
    </row>
    <row r="339" spans="11:11" s="507" customFormat="1" x14ac:dyDescent="0.2">
      <c r="K339" s="573"/>
    </row>
    <row r="340" spans="11:11" s="507" customFormat="1" x14ac:dyDescent="0.2">
      <c r="K340" s="573"/>
    </row>
    <row r="341" spans="11:11" s="507" customFormat="1" x14ac:dyDescent="0.2">
      <c r="K341" s="573"/>
    </row>
    <row r="342" spans="11:11" s="507" customFormat="1" x14ac:dyDescent="0.2">
      <c r="K342" s="573"/>
    </row>
    <row r="343" spans="11:11" s="507" customFormat="1" x14ac:dyDescent="0.2">
      <c r="K343" s="573"/>
    </row>
    <row r="344" spans="11:11" s="507" customFormat="1" x14ac:dyDescent="0.2">
      <c r="K344" s="573"/>
    </row>
    <row r="345" spans="11:11" s="507" customFormat="1" x14ac:dyDescent="0.2">
      <c r="K345" s="573"/>
    </row>
    <row r="346" spans="11:11" s="507" customFormat="1" x14ac:dyDescent="0.2">
      <c r="K346" s="573"/>
    </row>
    <row r="347" spans="11:11" s="507" customFormat="1" x14ac:dyDescent="0.2">
      <c r="K347" s="573"/>
    </row>
    <row r="348" spans="11:11" s="507" customFormat="1" x14ac:dyDescent="0.2">
      <c r="K348" s="573"/>
    </row>
    <row r="349" spans="11:11" s="507" customFormat="1" x14ac:dyDescent="0.2">
      <c r="K349" s="573"/>
    </row>
    <row r="350" spans="11:11" s="507" customFormat="1" x14ac:dyDescent="0.2">
      <c r="K350" s="573"/>
    </row>
    <row r="351" spans="11:11" s="507" customFormat="1" x14ac:dyDescent="0.2">
      <c r="K351" s="573"/>
    </row>
    <row r="352" spans="11:11" s="507" customFormat="1" x14ac:dyDescent="0.2">
      <c r="K352" s="573"/>
    </row>
    <row r="353" spans="11:11" s="507" customFormat="1" x14ac:dyDescent="0.2">
      <c r="K353" s="573"/>
    </row>
    <row r="354" spans="11:11" s="507" customFormat="1" x14ac:dyDescent="0.2">
      <c r="K354" s="573"/>
    </row>
    <row r="355" spans="11:11" s="507" customFormat="1" x14ac:dyDescent="0.2">
      <c r="K355" s="573"/>
    </row>
    <row r="356" spans="11:11" s="507" customFormat="1" x14ac:dyDescent="0.2">
      <c r="K356" s="573"/>
    </row>
    <row r="357" spans="11:11" s="507" customFormat="1" x14ac:dyDescent="0.2">
      <c r="K357" s="573"/>
    </row>
    <row r="358" spans="11:11" s="507" customFormat="1" x14ac:dyDescent="0.2">
      <c r="K358" s="573"/>
    </row>
    <row r="359" spans="11:11" s="507" customFormat="1" x14ac:dyDescent="0.2">
      <c r="K359" s="573"/>
    </row>
    <row r="360" spans="11:11" s="507" customFormat="1" x14ac:dyDescent="0.2">
      <c r="K360" s="573"/>
    </row>
    <row r="361" spans="11:11" s="507" customFormat="1" x14ac:dyDescent="0.2">
      <c r="K361" s="573"/>
    </row>
    <row r="362" spans="11:11" s="507" customFormat="1" x14ac:dyDescent="0.2">
      <c r="K362" s="573"/>
    </row>
    <row r="363" spans="11:11" s="507" customFormat="1" x14ac:dyDescent="0.2">
      <c r="K363" s="573"/>
    </row>
    <row r="364" spans="11:11" s="507" customFormat="1" x14ac:dyDescent="0.2">
      <c r="K364" s="573"/>
    </row>
    <row r="365" spans="11:11" s="507" customFormat="1" x14ac:dyDescent="0.2">
      <c r="K365" s="573"/>
    </row>
    <row r="366" spans="11:11" s="507" customFormat="1" x14ac:dyDescent="0.2">
      <c r="K366" s="573"/>
    </row>
    <row r="367" spans="11:11" s="507" customFormat="1" x14ac:dyDescent="0.2">
      <c r="K367" s="573"/>
    </row>
    <row r="368" spans="11:11" s="507" customFormat="1" x14ac:dyDescent="0.2">
      <c r="K368" s="573"/>
    </row>
    <row r="369" spans="11:11" s="507" customFormat="1" x14ac:dyDescent="0.2">
      <c r="K369" s="573"/>
    </row>
    <row r="370" spans="11:11" s="507" customFormat="1" x14ac:dyDescent="0.2">
      <c r="K370" s="573"/>
    </row>
    <row r="371" spans="11:11" s="507" customFormat="1" x14ac:dyDescent="0.2">
      <c r="K371" s="573"/>
    </row>
    <row r="372" spans="11:11" s="507" customFormat="1" x14ac:dyDescent="0.2">
      <c r="K372" s="573"/>
    </row>
    <row r="373" spans="11:11" s="507" customFormat="1" x14ac:dyDescent="0.2">
      <c r="K373" s="573"/>
    </row>
    <row r="374" spans="11:11" s="507" customFormat="1" x14ac:dyDescent="0.2">
      <c r="K374" s="573"/>
    </row>
    <row r="375" spans="11:11" s="507" customFormat="1" x14ac:dyDescent="0.2">
      <c r="K375" s="573"/>
    </row>
    <row r="376" spans="11:11" s="507" customFormat="1" x14ac:dyDescent="0.2">
      <c r="K376" s="573"/>
    </row>
    <row r="377" spans="11:11" s="507" customFormat="1" x14ac:dyDescent="0.2">
      <c r="K377" s="573"/>
    </row>
    <row r="378" spans="11:11" s="507" customFormat="1" x14ac:dyDescent="0.2">
      <c r="K378" s="573"/>
    </row>
    <row r="379" spans="11:11" s="507" customFormat="1" x14ac:dyDescent="0.2">
      <c r="K379" s="573"/>
    </row>
    <row r="380" spans="11:11" s="507" customFormat="1" x14ac:dyDescent="0.2">
      <c r="K380" s="573"/>
    </row>
    <row r="381" spans="11:11" s="507" customFormat="1" x14ac:dyDescent="0.2">
      <c r="K381" s="573"/>
    </row>
    <row r="382" spans="11:11" s="507" customFormat="1" x14ac:dyDescent="0.2">
      <c r="K382" s="573"/>
    </row>
    <row r="383" spans="11:11" s="507" customFormat="1" x14ac:dyDescent="0.2">
      <c r="K383" s="573"/>
    </row>
    <row r="384" spans="11:11" s="507" customFormat="1" x14ac:dyDescent="0.2">
      <c r="K384" s="573"/>
    </row>
    <row r="385" spans="11:11" s="507" customFormat="1" x14ac:dyDescent="0.2">
      <c r="K385" s="573"/>
    </row>
    <row r="386" spans="11:11" s="507" customFormat="1" x14ac:dyDescent="0.2">
      <c r="K386" s="573"/>
    </row>
    <row r="387" spans="11:11" s="507" customFormat="1" x14ac:dyDescent="0.2">
      <c r="K387" s="573"/>
    </row>
    <row r="388" spans="11:11" s="507" customFormat="1" x14ac:dyDescent="0.2">
      <c r="K388" s="573"/>
    </row>
    <row r="389" spans="11:11" s="507" customFormat="1" x14ac:dyDescent="0.2">
      <c r="K389" s="573"/>
    </row>
    <row r="390" spans="11:11" s="507" customFormat="1" x14ac:dyDescent="0.2">
      <c r="K390" s="573"/>
    </row>
    <row r="391" spans="11:11" s="507" customFormat="1" x14ac:dyDescent="0.2">
      <c r="K391" s="573"/>
    </row>
    <row r="392" spans="11:11" s="507" customFormat="1" x14ac:dyDescent="0.2">
      <c r="K392" s="573"/>
    </row>
    <row r="393" spans="11:11" s="507" customFormat="1" x14ac:dyDescent="0.2">
      <c r="K393" s="573"/>
    </row>
    <row r="394" spans="11:11" s="507" customFormat="1" x14ac:dyDescent="0.2">
      <c r="K394" s="573"/>
    </row>
    <row r="395" spans="11:11" s="507" customFormat="1" x14ac:dyDescent="0.2">
      <c r="K395" s="573"/>
    </row>
    <row r="396" spans="11:11" s="507" customFormat="1" x14ac:dyDescent="0.2">
      <c r="K396" s="573"/>
    </row>
    <row r="397" spans="11:11" s="507" customFormat="1" x14ac:dyDescent="0.2">
      <c r="K397" s="573"/>
    </row>
    <row r="398" spans="11:11" s="507" customFormat="1" x14ac:dyDescent="0.2">
      <c r="K398" s="573"/>
    </row>
    <row r="399" spans="11:11" s="507" customFormat="1" x14ac:dyDescent="0.2">
      <c r="K399" s="573"/>
    </row>
    <row r="400" spans="11:11" s="507" customFormat="1" x14ac:dyDescent="0.2">
      <c r="K400" s="573"/>
    </row>
    <row r="401" spans="11:11" s="507" customFormat="1" x14ac:dyDescent="0.2">
      <c r="K401" s="573"/>
    </row>
    <row r="402" spans="11:11" s="507" customFormat="1" x14ac:dyDescent="0.2">
      <c r="K402" s="573"/>
    </row>
    <row r="403" spans="11:11" s="507" customFormat="1" x14ac:dyDescent="0.2">
      <c r="K403" s="573"/>
    </row>
    <row r="404" spans="11:11" s="507" customFormat="1" x14ac:dyDescent="0.2">
      <c r="K404" s="573"/>
    </row>
    <row r="405" spans="11:11" s="507" customFormat="1" x14ac:dyDescent="0.2">
      <c r="K405" s="573"/>
    </row>
    <row r="406" spans="11:11" s="507" customFormat="1" x14ac:dyDescent="0.2">
      <c r="K406" s="573"/>
    </row>
    <row r="407" spans="11:11" s="507" customFormat="1" x14ac:dyDescent="0.2">
      <c r="K407" s="573"/>
    </row>
    <row r="408" spans="11:11" s="507" customFormat="1" x14ac:dyDescent="0.2">
      <c r="K408" s="573"/>
    </row>
    <row r="409" spans="11:11" s="507" customFormat="1" x14ac:dyDescent="0.2">
      <c r="K409" s="573"/>
    </row>
    <row r="410" spans="11:11" s="507" customFormat="1" x14ac:dyDescent="0.2">
      <c r="K410" s="573"/>
    </row>
    <row r="411" spans="11:11" s="507" customFormat="1" x14ac:dyDescent="0.2">
      <c r="K411" s="573"/>
    </row>
    <row r="412" spans="11:11" s="507" customFormat="1" x14ac:dyDescent="0.2">
      <c r="K412" s="573"/>
    </row>
    <row r="413" spans="11:11" s="507" customFormat="1" x14ac:dyDescent="0.2">
      <c r="K413" s="573"/>
    </row>
    <row r="414" spans="11:11" s="507" customFormat="1" x14ac:dyDescent="0.2">
      <c r="K414" s="573"/>
    </row>
    <row r="415" spans="11:11" s="507" customFormat="1" x14ac:dyDescent="0.2">
      <c r="K415" s="573"/>
    </row>
    <row r="416" spans="11:11" s="507" customFormat="1" x14ac:dyDescent="0.2">
      <c r="K416" s="573"/>
    </row>
    <row r="417" spans="11:11" s="507" customFormat="1" x14ac:dyDescent="0.2">
      <c r="K417" s="573"/>
    </row>
    <row r="418" spans="11:11" s="507" customFormat="1" x14ac:dyDescent="0.2">
      <c r="K418" s="573"/>
    </row>
    <row r="419" spans="11:11" s="507" customFormat="1" x14ac:dyDescent="0.2">
      <c r="K419" s="573"/>
    </row>
    <row r="420" spans="11:11" s="507" customFormat="1" x14ac:dyDescent="0.2">
      <c r="K420" s="573"/>
    </row>
    <row r="421" spans="11:11" s="507" customFormat="1" x14ac:dyDescent="0.2">
      <c r="K421" s="573"/>
    </row>
    <row r="422" spans="11:11" s="507" customFormat="1" x14ac:dyDescent="0.2">
      <c r="K422" s="573"/>
    </row>
    <row r="423" spans="11:11" s="507" customFormat="1" x14ac:dyDescent="0.2">
      <c r="K423" s="573"/>
    </row>
    <row r="424" spans="11:11" s="507" customFormat="1" x14ac:dyDescent="0.2">
      <c r="K424" s="573"/>
    </row>
    <row r="425" spans="11:11" s="507" customFormat="1" x14ac:dyDescent="0.2">
      <c r="K425" s="573"/>
    </row>
    <row r="426" spans="11:11" s="507" customFormat="1" x14ac:dyDescent="0.2">
      <c r="K426" s="573"/>
    </row>
    <row r="427" spans="11:11" s="507" customFormat="1" x14ac:dyDescent="0.2">
      <c r="K427" s="573"/>
    </row>
    <row r="428" spans="11:11" s="507" customFormat="1" x14ac:dyDescent="0.2">
      <c r="K428" s="573"/>
    </row>
    <row r="429" spans="11:11" s="507" customFormat="1" x14ac:dyDescent="0.2">
      <c r="K429" s="573"/>
    </row>
    <row r="430" spans="11:11" s="507" customFormat="1" x14ac:dyDescent="0.2">
      <c r="K430" s="573"/>
    </row>
    <row r="431" spans="11:11" s="507" customFormat="1" x14ac:dyDescent="0.2">
      <c r="K431" s="573"/>
    </row>
    <row r="432" spans="11:11" s="507" customFormat="1" x14ac:dyDescent="0.2">
      <c r="K432" s="573"/>
    </row>
    <row r="433" spans="11:11" s="507" customFormat="1" x14ac:dyDescent="0.2">
      <c r="K433" s="573"/>
    </row>
    <row r="434" spans="11:11" s="507" customFormat="1" x14ac:dyDescent="0.2">
      <c r="K434" s="573"/>
    </row>
    <row r="435" spans="11:11" s="507" customFormat="1" x14ac:dyDescent="0.2">
      <c r="K435" s="573"/>
    </row>
    <row r="436" spans="11:11" s="507" customFormat="1" x14ac:dyDescent="0.2">
      <c r="K436" s="573"/>
    </row>
    <row r="437" spans="11:11" s="507" customFormat="1" x14ac:dyDescent="0.2">
      <c r="K437" s="573"/>
    </row>
    <row r="438" spans="11:11" s="507" customFormat="1" x14ac:dyDescent="0.2">
      <c r="K438" s="573"/>
    </row>
    <row r="439" spans="11:11" s="507" customFormat="1" x14ac:dyDescent="0.2">
      <c r="K439" s="573"/>
    </row>
    <row r="440" spans="11:11" s="507" customFormat="1" x14ac:dyDescent="0.2">
      <c r="K440" s="573"/>
    </row>
    <row r="441" spans="11:11" s="507" customFormat="1" x14ac:dyDescent="0.2">
      <c r="K441" s="573"/>
    </row>
    <row r="442" spans="11:11" s="507" customFormat="1" x14ac:dyDescent="0.2">
      <c r="K442" s="573"/>
    </row>
    <row r="443" spans="11:11" s="507" customFormat="1" x14ac:dyDescent="0.2">
      <c r="K443" s="573"/>
    </row>
    <row r="444" spans="11:11" s="507" customFormat="1" x14ac:dyDescent="0.2">
      <c r="K444" s="573"/>
    </row>
    <row r="445" spans="11:11" s="507" customFormat="1" x14ac:dyDescent="0.2">
      <c r="K445" s="573"/>
    </row>
    <row r="446" spans="11:11" s="507" customFormat="1" x14ac:dyDescent="0.2">
      <c r="K446" s="573"/>
    </row>
    <row r="447" spans="11:11" s="507" customFormat="1" x14ac:dyDescent="0.2">
      <c r="K447" s="573"/>
    </row>
    <row r="448" spans="11:11" s="507" customFormat="1" x14ac:dyDescent="0.2">
      <c r="K448" s="573"/>
    </row>
    <row r="449" spans="11:11" s="507" customFormat="1" x14ac:dyDescent="0.2">
      <c r="K449" s="573"/>
    </row>
    <row r="450" spans="11:11" s="507" customFormat="1" x14ac:dyDescent="0.2">
      <c r="K450" s="573"/>
    </row>
    <row r="451" spans="11:11" s="507" customFormat="1" x14ac:dyDescent="0.2">
      <c r="K451" s="573"/>
    </row>
    <row r="452" spans="11:11" s="507" customFormat="1" x14ac:dyDescent="0.2">
      <c r="K452" s="573"/>
    </row>
    <row r="453" spans="11:11" s="507" customFormat="1" x14ac:dyDescent="0.2">
      <c r="K453" s="573"/>
    </row>
    <row r="454" spans="11:11" s="507" customFormat="1" x14ac:dyDescent="0.2">
      <c r="K454" s="573"/>
    </row>
    <row r="455" spans="11:11" s="507" customFormat="1" x14ac:dyDescent="0.2">
      <c r="K455" s="573"/>
    </row>
    <row r="456" spans="11:11" s="507" customFormat="1" x14ac:dyDescent="0.2">
      <c r="K456" s="573"/>
    </row>
    <row r="457" spans="11:11" s="507" customFormat="1" x14ac:dyDescent="0.2">
      <c r="K457" s="573"/>
    </row>
    <row r="458" spans="11:11" s="507" customFormat="1" x14ac:dyDescent="0.2">
      <c r="K458" s="573"/>
    </row>
    <row r="459" spans="11:11" s="507" customFormat="1" x14ac:dyDescent="0.2">
      <c r="K459" s="573"/>
    </row>
    <row r="460" spans="11:11" s="507" customFormat="1" x14ac:dyDescent="0.2">
      <c r="K460" s="573"/>
    </row>
    <row r="461" spans="11:11" s="507" customFormat="1" x14ac:dyDescent="0.2">
      <c r="K461" s="573"/>
    </row>
    <row r="462" spans="11:11" s="507" customFormat="1" x14ac:dyDescent="0.2">
      <c r="K462" s="573"/>
    </row>
    <row r="463" spans="11:11" s="507" customFormat="1" x14ac:dyDescent="0.2">
      <c r="K463" s="573"/>
    </row>
    <row r="464" spans="11:11" s="507" customFormat="1" x14ac:dyDescent="0.2">
      <c r="K464" s="573"/>
    </row>
    <row r="465" spans="11:11" s="507" customFormat="1" x14ac:dyDescent="0.2">
      <c r="K465" s="573"/>
    </row>
    <row r="466" spans="11:11" s="507" customFormat="1" x14ac:dyDescent="0.2">
      <c r="K466" s="573"/>
    </row>
    <row r="467" spans="11:11" s="507" customFormat="1" x14ac:dyDescent="0.2">
      <c r="K467" s="573"/>
    </row>
    <row r="468" spans="11:11" s="507" customFormat="1" x14ac:dyDescent="0.2">
      <c r="K468" s="573"/>
    </row>
    <row r="469" spans="11:11" s="507" customFormat="1" x14ac:dyDescent="0.2">
      <c r="K469" s="573"/>
    </row>
    <row r="470" spans="11:11" s="507" customFormat="1" x14ac:dyDescent="0.2">
      <c r="K470" s="573"/>
    </row>
    <row r="471" spans="11:11" s="507" customFormat="1" x14ac:dyDescent="0.2">
      <c r="K471" s="573"/>
    </row>
    <row r="472" spans="11:11" s="507" customFormat="1" x14ac:dyDescent="0.2">
      <c r="K472" s="573"/>
    </row>
    <row r="473" spans="11:11" s="507" customFormat="1" x14ac:dyDescent="0.2">
      <c r="K473" s="573"/>
    </row>
    <row r="474" spans="11:11" s="507" customFormat="1" x14ac:dyDescent="0.2">
      <c r="K474" s="573"/>
    </row>
    <row r="475" spans="11:11" s="507" customFormat="1" x14ac:dyDescent="0.2">
      <c r="K475" s="573"/>
    </row>
    <row r="476" spans="11:11" s="507" customFormat="1" x14ac:dyDescent="0.2">
      <c r="K476" s="573"/>
    </row>
    <row r="477" spans="11:11" s="507" customFormat="1" x14ac:dyDescent="0.2">
      <c r="K477" s="573"/>
    </row>
    <row r="478" spans="11:11" s="507" customFormat="1" x14ac:dyDescent="0.2">
      <c r="K478" s="573"/>
    </row>
    <row r="479" spans="11:11" s="507" customFormat="1" x14ac:dyDescent="0.2">
      <c r="K479" s="573"/>
    </row>
    <row r="480" spans="11:11" s="507" customFormat="1" x14ac:dyDescent="0.2">
      <c r="K480" s="573"/>
    </row>
    <row r="481" spans="11:11" s="507" customFormat="1" x14ac:dyDescent="0.2">
      <c r="K481" s="573"/>
    </row>
    <row r="482" spans="11:11" s="507" customFormat="1" x14ac:dyDescent="0.2">
      <c r="K482" s="573"/>
    </row>
    <row r="483" spans="11:11" s="507" customFormat="1" x14ac:dyDescent="0.2">
      <c r="K483" s="573"/>
    </row>
    <row r="484" spans="11:11" s="507" customFormat="1" x14ac:dyDescent="0.2">
      <c r="K484" s="573"/>
    </row>
    <row r="485" spans="11:11" s="507" customFormat="1" x14ac:dyDescent="0.2">
      <c r="K485" s="573"/>
    </row>
    <row r="486" spans="11:11" s="507" customFormat="1" x14ac:dyDescent="0.2">
      <c r="K486" s="573"/>
    </row>
    <row r="487" spans="11:11" s="507" customFormat="1" x14ac:dyDescent="0.2">
      <c r="K487" s="573"/>
    </row>
  </sheetData>
  <sheetProtection password="E421" sheet="1" objects="1" scenarios="1"/>
  <mergeCells count="136">
    <mergeCell ref="A212:L212"/>
    <mergeCell ref="A213:L214"/>
    <mergeCell ref="D132:E132"/>
    <mergeCell ref="D133:E133"/>
    <mergeCell ref="D134:E134"/>
    <mergeCell ref="A207:L208"/>
    <mergeCell ref="A209:L209"/>
    <mergeCell ref="A210:L211"/>
    <mergeCell ref="D126:E126"/>
    <mergeCell ref="D127:E127"/>
    <mergeCell ref="D128:E128"/>
    <mergeCell ref="D129:E129"/>
    <mergeCell ref="D130:E130"/>
    <mergeCell ref="D131:E131"/>
    <mergeCell ref="G118:M119"/>
    <mergeCell ref="D121:E121"/>
    <mergeCell ref="D122:E122"/>
    <mergeCell ref="D123:E123"/>
    <mergeCell ref="D124:E124"/>
    <mergeCell ref="D125:E125"/>
    <mergeCell ref="B91:C91"/>
    <mergeCell ref="D91:M91"/>
    <mergeCell ref="B92:C92"/>
    <mergeCell ref="D92:M92"/>
    <mergeCell ref="B93:C93"/>
    <mergeCell ref="D93:M93"/>
    <mergeCell ref="D87:M87"/>
    <mergeCell ref="B88:M88"/>
    <mergeCell ref="B89:C89"/>
    <mergeCell ref="D89:M89"/>
    <mergeCell ref="B90:C90"/>
    <mergeCell ref="D90:M90"/>
    <mergeCell ref="B83:M83"/>
    <mergeCell ref="B84:C84"/>
    <mergeCell ref="D84:M84"/>
    <mergeCell ref="B85:C85"/>
    <mergeCell ref="D85:M85"/>
    <mergeCell ref="B86:C86"/>
    <mergeCell ref="D86:M86"/>
    <mergeCell ref="N75:N93"/>
    <mergeCell ref="B76:C76"/>
    <mergeCell ref="D76:M76"/>
    <mergeCell ref="B77:C77"/>
    <mergeCell ref="D77:M77"/>
    <mergeCell ref="B78:M78"/>
    <mergeCell ref="B79:C79"/>
    <mergeCell ref="B67:C67"/>
    <mergeCell ref="D67:M67"/>
    <mergeCell ref="D68:F68"/>
    <mergeCell ref="G68:I68"/>
    <mergeCell ref="D69:F73"/>
    <mergeCell ref="G69:I73"/>
    <mergeCell ref="D79:M79"/>
    <mergeCell ref="B80:C80"/>
    <mergeCell ref="D80:M80"/>
    <mergeCell ref="B81:C81"/>
    <mergeCell ref="D81:M81"/>
    <mergeCell ref="B82:C82"/>
    <mergeCell ref="D82:M82"/>
    <mergeCell ref="B74:C74"/>
    <mergeCell ref="D74:M74"/>
    <mergeCell ref="B75:M75"/>
    <mergeCell ref="B87:C87"/>
    <mergeCell ref="D59:F63"/>
    <mergeCell ref="G59:I63"/>
    <mergeCell ref="B64:C64"/>
    <mergeCell ref="D64:M64"/>
    <mergeCell ref="B65:M65"/>
    <mergeCell ref="B66:C66"/>
    <mergeCell ref="D66:M66"/>
    <mergeCell ref="B55:M55"/>
    <mergeCell ref="B56:C56"/>
    <mergeCell ref="D56:M56"/>
    <mergeCell ref="B57:C57"/>
    <mergeCell ref="D57:M57"/>
    <mergeCell ref="D58:F58"/>
    <mergeCell ref="G58:I58"/>
    <mergeCell ref="D48:F48"/>
    <mergeCell ref="G48:I48"/>
    <mergeCell ref="D49:F53"/>
    <mergeCell ref="G49:I53"/>
    <mergeCell ref="B54:C54"/>
    <mergeCell ref="D54:M54"/>
    <mergeCell ref="B44:C44"/>
    <mergeCell ref="D44:M44"/>
    <mergeCell ref="B45:M45"/>
    <mergeCell ref="B46:C46"/>
    <mergeCell ref="D46:M46"/>
    <mergeCell ref="B47:C47"/>
    <mergeCell ref="D47:M47"/>
    <mergeCell ref="B37:C37"/>
    <mergeCell ref="D37:M37"/>
    <mergeCell ref="D38:F38"/>
    <mergeCell ref="G38:I38"/>
    <mergeCell ref="D39:F43"/>
    <mergeCell ref="G39:I43"/>
    <mergeCell ref="D29:F33"/>
    <mergeCell ref="G29:I33"/>
    <mergeCell ref="B34:C34"/>
    <mergeCell ref="D34:M34"/>
    <mergeCell ref="B35:M35"/>
    <mergeCell ref="B36:C36"/>
    <mergeCell ref="D36:M36"/>
    <mergeCell ref="B23:C23"/>
    <mergeCell ref="B24:C24"/>
    <mergeCell ref="B25:C25"/>
    <mergeCell ref="B27:M27"/>
    <mergeCell ref="D28:F28"/>
    <mergeCell ref="G28:I28"/>
    <mergeCell ref="N15:N22"/>
    <mergeCell ref="B17:C17"/>
    <mergeCell ref="B18:C18"/>
    <mergeCell ref="B19:C19"/>
    <mergeCell ref="B20:C20"/>
    <mergeCell ref="B21:C21"/>
    <mergeCell ref="B22:C22"/>
    <mergeCell ref="B14:M14"/>
    <mergeCell ref="B15:C16"/>
    <mergeCell ref="D15:E15"/>
    <mergeCell ref="F15:G15"/>
    <mergeCell ref="H15:I15"/>
    <mergeCell ref="J15:K15"/>
    <mergeCell ref="L15:M15"/>
    <mergeCell ref="C10:M10"/>
    <mergeCell ref="C11:M11"/>
    <mergeCell ref="N11:N12"/>
    <mergeCell ref="C12:M12"/>
    <mergeCell ref="D13:F13"/>
    <mergeCell ref="G13:I13"/>
    <mergeCell ref="J13:M13"/>
    <mergeCell ref="B1:E1"/>
    <mergeCell ref="F1:M1"/>
    <mergeCell ref="B3:M3"/>
    <mergeCell ref="B4:M4"/>
    <mergeCell ref="B8:M8"/>
    <mergeCell ref="C9:M9"/>
  </mergeCells>
  <conditionalFormatting sqref="F1:M1">
    <cfRule type="containsText" dxfId="114" priority="43" operator="containsText" text="0">
      <formula>NOT(ISERROR(SEARCH("0",F1)))</formula>
    </cfRule>
  </conditionalFormatting>
  <conditionalFormatting sqref="C9:M10">
    <cfRule type="cellIs" dxfId="113" priority="42" operator="lessThanOrEqual">
      <formula>0</formula>
    </cfRule>
  </conditionalFormatting>
  <conditionalFormatting sqref="D79:M80 D84:M85 D90:M91">
    <cfRule type="containsErrors" dxfId="112" priority="41">
      <formula>ISERROR(D79)</formula>
    </cfRule>
  </conditionalFormatting>
  <conditionalFormatting sqref="D79:M79">
    <cfRule type="cellIs" dxfId="111" priority="39" operator="equal">
      <formula>0</formula>
    </cfRule>
  </conditionalFormatting>
  <conditionalFormatting sqref="E77:M77 D76:D77">
    <cfRule type="cellIs" dxfId="110" priority="37" operator="lessThanOrEqual">
      <formula>0</formula>
    </cfRule>
  </conditionalFormatting>
  <conditionalFormatting sqref="D81:M81">
    <cfRule type="cellIs" dxfId="109" priority="36" operator="lessThanOrEqual">
      <formula>0</formula>
    </cfRule>
  </conditionalFormatting>
  <conditionalFormatting sqref="D86:M86">
    <cfRule type="cellIs" dxfId="108" priority="35" operator="lessThanOrEqual">
      <formula>0</formula>
    </cfRule>
  </conditionalFormatting>
  <conditionalFormatting sqref="D92:M92">
    <cfRule type="cellIs" dxfId="107" priority="34" operator="lessThanOrEqual">
      <formula>0</formula>
    </cfRule>
  </conditionalFormatting>
  <conditionalFormatting sqref="C11:M12 D13 J13">
    <cfRule type="containsErrors" dxfId="106" priority="33">
      <formula>ISERROR(C11)</formula>
    </cfRule>
  </conditionalFormatting>
  <conditionalFormatting sqref="C12:M12 D13 J13">
    <cfRule type="cellIs" dxfId="105" priority="32" stopIfTrue="1" operator="lessThanOrEqual">
      <formula>0</formula>
    </cfRule>
  </conditionalFormatting>
  <conditionalFormatting sqref="B143:C152">
    <cfRule type="containsErrors" dxfId="104" priority="17">
      <formula>ISERROR(B143)</formula>
    </cfRule>
  </conditionalFormatting>
  <conditionalFormatting sqref="B153:C156">
    <cfRule type="containsErrors" dxfId="103" priority="16">
      <formula>ISERROR(B153)</formula>
    </cfRule>
  </conditionalFormatting>
  <conditionalFormatting sqref="B157:C160">
    <cfRule type="containsErrors" dxfId="102" priority="15">
      <formula>ISERROR(B157)</formula>
    </cfRule>
  </conditionalFormatting>
  <conditionalFormatting sqref="B161:C164">
    <cfRule type="containsErrors" dxfId="101" priority="14">
      <formula>ISERROR(B161)</formula>
    </cfRule>
  </conditionalFormatting>
  <conditionalFormatting sqref="B165:C168">
    <cfRule type="containsErrors" dxfId="100" priority="13">
      <formula>ISERROR(B165)</formula>
    </cfRule>
  </conditionalFormatting>
  <conditionalFormatting sqref="D29:D34 E29:F33 D54">
    <cfRule type="containsErrors" dxfId="99" priority="12">
      <formula>ISERROR(D29)</formula>
    </cfRule>
  </conditionalFormatting>
  <conditionalFormatting sqref="N43 N33:N34 N53 N63 N73">
    <cfRule type="containsErrors" dxfId="98" priority="11">
      <formula>ISERROR(N33)</formula>
    </cfRule>
  </conditionalFormatting>
  <conditionalFormatting sqref="D74:M74 D64:M64 D54:M54 D44:M44 D34:M34">
    <cfRule type="cellIs" dxfId="97" priority="10" stopIfTrue="1" operator="lessThanOrEqual">
      <formula>0</formula>
    </cfRule>
  </conditionalFormatting>
  <conditionalFormatting sqref="D29:F33">
    <cfRule type="cellIs" dxfId="96" priority="9" operator="lessThanOrEqual">
      <formula>0</formula>
    </cfRule>
  </conditionalFormatting>
  <conditionalFormatting sqref="D39:F43">
    <cfRule type="containsErrors" dxfId="95" priority="8">
      <formula>ISERROR(D39)</formula>
    </cfRule>
  </conditionalFormatting>
  <conditionalFormatting sqref="D39:F43">
    <cfRule type="cellIs" dxfId="94" priority="7" operator="lessThanOrEqual">
      <formula>0</formula>
    </cfRule>
  </conditionalFormatting>
  <conditionalFormatting sqref="D49:F53">
    <cfRule type="containsErrors" dxfId="93" priority="6">
      <formula>ISERROR(D49)</formula>
    </cfRule>
  </conditionalFormatting>
  <conditionalFormatting sqref="D49:F53">
    <cfRule type="cellIs" dxfId="92" priority="5" operator="lessThanOrEqual">
      <formula>0</formula>
    </cfRule>
  </conditionalFormatting>
  <conditionalFormatting sqref="D59:F63">
    <cfRule type="containsErrors" dxfId="91" priority="4">
      <formula>ISERROR(D59)</formula>
    </cfRule>
  </conditionalFormatting>
  <conditionalFormatting sqref="D59:F63">
    <cfRule type="cellIs" dxfId="90" priority="3" operator="lessThanOrEqual">
      <formula>0</formula>
    </cfRule>
  </conditionalFormatting>
  <conditionalFormatting sqref="D69:F73">
    <cfRule type="containsErrors" dxfId="89" priority="2">
      <formula>ISERROR(D69)</formula>
    </cfRule>
  </conditionalFormatting>
  <conditionalFormatting sqref="D69:F73">
    <cfRule type="cellIs" dxfId="88" priority="1" operator="lessThanOrEqual">
      <formula>0</formula>
    </cfRule>
  </conditionalFormatting>
  <dataValidations count="2">
    <dataValidation type="list" allowBlank="1" showInputMessage="1" showErrorMessage="1" sqref="C13" xr:uid="{00000000-0002-0000-1600-000000000000}">
      <formula1>Cistern</formula1>
    </dataValidation>
    <dataValidation type="list" allowBlank="1" showInputMessage="1" showErrorMessage="1" sqref="C29:C33 C69:C73 C59:C63 C49:C53 C39:C43" xr:uid="{00000000-0002-0000-1600-000001000000}">
      <formula1>$B$122:$B$134</formula1>
    </dataValidation>
  </dataValidations>
  <hyperlinks>
    <hyperlink ref="A210:J211" location="'SITE SUMMARY'!A1" display="CONTINUE TO SITE SUMMARY" xr:uid="{00000000-0004-0000-1600-000000000000}"/>
    <hyperlink ref="A213:J214" location="'SITE SUMMARY'!A1" display="CONTINUE TO SITE SUMMARY" xr:uid="{00000000-0004-0000-1600-000001000000}"/>
    <hyperlink ref="A210:L211" location="'BMP SUMMARY'!A1" display="CONTINUE TO BMP SUMMARY" xr:uid="{00000000-0004-0000-1600-000002000000}"/>
    <hyperlink ref="A207:J208" location="'DA2'!A1" display="CLICK TO ADD ANOTHER DRAINAGE AREA" xr:uid="{00000000-0004-0000-1600-000003000000}"/>
    <hyperlink ref="A207:L208" location="DA2_BMPs!A1" display="CLICK TO ADD BMPS TO ANOTHER DRAINAGE AREA" xr:uid="{00000000-0004-0000-1600-000004000000}"/>
  </hyperlinks>
  <printOptions horizontalCentered="1"/>
  <pageMargins left="0.7" right="0.7" top="0.75" bottom="0.75" header="0.3" footer="0.3"/>
  <pageSetup scale="42" fitToHeight="2" orientation="portrait" r:id="rId1"/>
  <headerFooter>
    <oddFooter>&amp;A&amp;RPage &amp;P</oddFooter>
  </headerFooter>
  <rowBreaks count="1" manualBreakCount="1">
    <brk id="54" min="1" max="12" man="1"/>
  </rowBreaks>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030A0"/>
  </sheetPr>
  <dimension ref="A1:AA487"/>
  <sheetViews>
    <sheetView showRowColHeaders="0" zoomScale="70" zoomScaleNormal="70" zoomScalePageLayoutView="55" workbookViewId="0">
      <selection activeCell="N15" sqref="N15:N22"/>
    </sheetView>
  </sheetViews>
  <sheetFormatPr defaultRowHeight="15" x14ac:dyDescent="0.2"/>
  <cols>
    <col min="1" max="1" width="3.77734375" style="507" customWidth="1"/>
    <col min="2" max="2" width="39" style="161" customWidth="1"/>
    <col min="3" max="3" width="42.5546875" style="161" bestFit="1" customWidth="1"/>
    <col min="4" max="10" width="9.77734375" style="161" customWidth="1"/>
    <col min="11" max="11" width="9.77734375" style="398" customWidth="1"/>
    <col min="12" max="13" width="9.77734375" style="161" customWidth="1"/>
    <col min="14" max="14" width="77" style="161" customWidth="1"/>
    <col min="15" max="25" width="8.88671875" style="507"/>
    <col min="26" max="16384" width="8.88671875" style="161"/>
  </cols>
  <sheetData>
    <row r="1" spans="1:25" ht="16.5" customHeight="1" thickBot="1" x14ac:dyDescent="0.3">
      <c r="B1" s="787" t="s">
        <v>31</v>
      </c>
      <c r="C1" s="787"/>
      <c r="D1" s="787"/>
      <c r="E1" s="931"/>
      <c r="F1" s="1107">
        <f>'SITE DATA'!F9</f>
        <v>0</v>
      </c>
      <c r="G1" s="1108"/>
      <c r="H1" s="1108"/>
      <c r="I1" s="1108"/>
      <c r="J1" s="1108"/>
      <c r="K1" s="1108"/>
      <c r="L1" s="1108"/>
      <c r="M1" s="1109"/>
      <c r="N1" s="507"/>
    </row>
    <row r="2" spans="1:25" ht="16.5" customHeight="1" x14ac:dyDescent="0.2">
      <c r="B2" s="575"/>
      <c r="C2" s="575"/>
      <c r="D2" s="575"/>
      <c r="E2" s="575"/>
      <c r="F2" s="575"/>
      <c r="G2" s="575"/>
      <c r="H2" s="575"/>
      <c r="I2" s="575"/>
      <c r="J2" s="575"/>
      <c r="K2" s="237"/>
      <c r="L2" s="575"/>
      <c r="M2" s="575"/>
      <c r="N2" s="507"/>
    </row>
    <row r="3" spans="1:25" ht="16.5" customHeight="1" x14ac:dyDescent="0.25">
      <c r="B3" s="797" t="s">
        <v>393</v>
      </c>
      <c r="C3" s="797"/>
      <c r="D3" s="797"/>
      <c r="E3" s="797"/>
      <c r="F3" s="797"/>
      <c r="G3" s="797"/>
      <c r="H3" s="797"/>
      <c r="I3" s="797"/>
      <c r="J3" s="797"/>
      <c r="K3" s="797"/>
      <c r="L3" s="797"/>
      <c r="M3" s="797"/>
      <c r="N3" s="507"/>
    </row>
    <row r="4" spans="1:25" ht="16.5" customHeight="1" x14ac:dyDescent="0.25">
      <c r="B4" s="797" t="s">
        <v>359</v>
      </c>
      <c r="C4" s="797"/>
      <c r="D4" s="797"/>
      <c r="E4" s="797"/>
      <c r="F4" s="797"/>
      <c r="G4" s="797"/>
      <c r="H4" s="797"/>
      <c r="I4" s="797"/>
      <c r="J4" s="797"/>
      <c r="K4" s="797"/>
      <c r="L4" s="797"/>
      <c r="M4" s="797"/>
      <c r="N4" s="507"/>
    </row>
    <row r="5" spans="1:25" ht="16.5" customHeight="1" x14ac:dyDescent="0.2">
      <c r="B5" s="507"/>
      <c r="C5" s="507"/>
      <c r="D5" s="507"/>
      <c r="E5" s="507"/>
      <c r="F5" s="507"/>
      <c r="G5" s="507"/>
      <c r="H5" s="507"/>
      <c r="I5" s="507"/>
      <c r="J5" s="507"/>
      <c r="K5" s="573"/>
      <c r="L5" s="507"/>
      <c r="M5" s="507"/>
      <c r="N5" s="507"/>
    </row>
    <row r="6" spans="1:25" ht="16.5" customHeight="1" x14ac:dyDescent="0.2">
      <c r="B6" s="507"/>
      <c r="C6" s="507"/>
      <c r="D6" s="366"/>
      <c r="E6" s="366"/>
      <c r="F6" s="366"/>
      <c r="G6" s="305"/>
      <c r="H6" s="305"/>
      <c r="I6" s="366"/>
      <c r="J6" s="366"/>
      <c r="K6" s="367"/>
      <c r="L6" s="507"/>
      <c r="M6" s="507"/>
    </row>
    <row r="7" spans="1:25" ht="16.5" customHeight="1" thickBot="1" x14ac:dyDescent="0.25">
      <c r="B7" s="507"/>
      <c r="C7" s="507"/>
      <c r="D7" s="305"/>
      <c r="E7" s="305"/>
      <c r="F7" s="305"/>
      <c r="G7" s="305"/>
      <c r="H7" s="305"/>
      <c r="I7" s="305"/>
      <c r="J7" s="305"/>
      <c r="K7" s="160"/>
      <c r="L7" s="507"/>
      <c r="M7" s="507"/>
      <c r="N7" s="507"/>
    </row>
    <row r="8" spans="1:25" s="306" customFormat="1" ht="24.95" customHeight="1" thickTop="1" thickBot="1" x14ac:dyDescent="0.25">
      <c r="A8" s="164"/>
      <c r="B8" s="1081" t="s">
        <v>274</v>
      </c>
      <c r="C8" s="1082"/>
      <c r="D8" s="1082"/>
      <c r="E8" s="1082"/>
      <c r="F8" s="1082"/>
      <c r="G8" s="1082"/>
      <c r="H8" s="1082"/>
      <c r="I8" s="1082"/>
      <c r="J8" s="1082"/>
      <c r="K8" s="1082"/>
      <c r="L8" s="1082"/>
      <c r="M8" s="1083"/>
      <c r="N8" s="238" t="s">
        <v>319</v>
      </c>
      <c r="O8" s="164"/>
      <c r="P8" s="164"/>
      <c r="Q8" s="164"/>
      <c r="R8" s="164"/>
      <c r="S8" s="164"/>
      <c r="T8" s="164"/>
      <c r="U8" s="164"/>
      <c r="V8" s="164"/>
      <c r="W8" s="164"/>
      <c r="X8" s="164"/>
      <c r="Y8" s="164"/>
    </row>
    <row r="9" spans="1:25" s="306" customFormat="1" ht="24.95" customHeight="1" thickTop="1" x14ac:dyDescent="0.2">
      <c r="A9" s="164"/>
      <c r="B9" s="241" t="s">
        <v>711</v>
      </c>
      <c r="C9" s="1087">
        <f>'DA10'!H10</f>
        <v>0</v>
      </c>
      <c r="D9" s="1087"/>
      <c r="E9" s="1087"/>
      <c r="F9" s="1087"/>
      <c r="G9" s="1087"/>
      <c r="H9" s="1087"/>
      <c r="I9" s="1087"/>
      <c r="J9" s="1087"/>
      <c r="K9" s="1087"/>
      <c r="L9" s="1087"/>
      <c r="M9" s="1088"/>
      <c r="N9" s="307"/>
      <c r="O9" s="164"/>
      <c r="P9" s="164"/>
      <c r="Q9" s="164"/>
      <c r="R9" s="164"/>
      <c r="S9" s="164"/>
      <c r="T9" s="164"/>
      <c r="U9" s="164"/>
      <c r="V9" s="164"/>
      <c r="W9" s="164"/>
      <c r="X9" s="164"/>
      <c r="Y9" s="164"/>
    </row>
    <row r="10" spans="1:25" s="306" customFormat="1" ht="24.95" customHeight="1" x14ac:dyDescent="0.2">
      <c r="A10" s="164"/>
      <c r="B10" s="241" t="s">
        <v>712</v>
      </c>
      <c r="C10" s="1087">
        <f>'DA10'!H9-'DA10'!H10</f>
        <v>0</v>
      </c>
      <c r="D10" s="1087"/>
      <c r="E10" s="1087"/>
      <c r="F10" s="1087"/>
      <c r="G10" s="1087"/>
      <c r="H10" s="1087"/>
      <c r="I10" s="1087"/>
      <c r="J10" s="1087"/>
      <c r="K10" s="1087"/>
      <c r="L10" s="1087"/>
      <c r="M10" s="1088"/>
      <c r="N10" s="308"/>
      <c r="O10" s="164"/>
      <c r="P10" s="164"/>
      <c r="Q10" s="164"/>
      <c r="R10" s="164"/>
      <c r="S10" s="164"/>
      <c r="T10" s="164"/>
      <c r="U10" s="164"/>
      <c r="V10" s="164"/>
      <c r="W10" s="164"/>
      <c r="X10" s="164"/>
      <c r="Y10" s="164"/>
    </row>
    <row r="11" spans="1:25" s="306" customFormat="1" ht="33" x14ac:dyDescent="0.2">
      <c r="A11" s="164"/>
      <c r="B11" s="286" t="s">
        <v>576</v>
      </c>
      <c r="C11" s="1032" t="e">
        <f>'SITE SUMMARY'!G40</f>
        <v>#VALUE!</v>
      </c>
      <c r="D11" s="1032"/>
      <c r="E11" s="1032"/>
      <c r="F11" s="1032"/>
      <c r="G11" s="1032"/>
      <c r="H11" s="1032"/>
      <c r="I11" s="1032"/>
      <c r="J11" s="1032"/>
      <c r="K11" s="1032"/>
      <c r="L11" s="1032"/>
      <c r="M11" s="1033"/>
      <c r="N11" s="1035" t="s">
        <v>578</v>
      </c>
      <c r="O11" s="164"/>
      <c r="P11" s="164"/>
      <c r="Q11" s="164"/>
      <c r="R11" s="164"/>
      <c r="S11" s="164"/>
      <c r="T11" s="164"/>
      <c r="U11" s="164"/>
      <c r="V11" s="164"/>
      <c r="W11" s="164"/>
      <c r="X11" s="164"/>
      <c r="Y11" s="164"/>
    </row>
    <row r="12" spans="1:25" s="306" customFormat="1" ht="34.5" customHeight="1" x14ac:dyDescent="0.2">
      <c r="A12" s="164"/>
      <c r="B12" s="286" t="s">
        <v>713</v>
      </c>
      <c r="C12" s="1032" t="e">
        <f>IF('SITE SUMMARY'!G35="High",('DA10'!$D$80),0)</f>
        <v>#DIV/0!</v>
      </c>
      <c r="D12" s="1032" t="str">
        <f>IF($G$36="High",('DA1'!$D$80),"NA")</f>
        <v>NA</v>
      </c>
      <c r="E12" s="1032" t="str">
        <f>IF($G$36="High",('DA1'!$D$80),"NA")</f>
        <v>NA</v>
      </c>
      <c r="F12" s="1032" t="str">
        <f>IF($G$36="High",('DA1'!$D$80),"NA")</f>
        <v>NA</v>
      </c>
      <c r="G12" s="1032" t="str">
        <f>IF($G$36="High",('DA1'!$D$80),"NA")</f>
        <v>NA</v>
      </c>
      <c r="H12" s="1032" t="str">
        <f>IF($G$36="High",('DA1'!$D$80),"NA")</f>
        <v>NA</v>
      </c>
      <c r="I12" s="1032" t="str">
        <f>IF($G$36="High",('DA1'!$D$80),"NA")</f>
        <v>NA</v>
      </c>
      <c r="J12" s="1032" t="str">
        <f>IF($G$36="High",('DA1'!$D$80),"NA")</f>
        <v>NA</v>
      </c>
      <c r="K12" s="1032" t="str">
        <f>IF($G$36="High",('DA1'!$D$80),"NA")</f>
        <v>NA</v>
      </c>
      <c r="L12" s="1032" t="str">
        <f>IF($G$36="High",('DA1'!$D$80),"NA")</f>
        <v>NA</v>
      </c>
      <c r="M12" s="1033" t="str">
        <f>IF($G$36="High",('DA1'!$D$80),"NA")</f>
        <v>NA</v>
      </c>
      <c r="N12" s="1035"/>
      <c r="O12" s="164"/>
      <c r="P12" s="164"/>
      <c r="Q12" s="164"/>
      <c r="R12" s="164"/>
      <c r="S12" s="164"/>
      <c r="T12" s="164"/>
      <c r="U12" s="164"/>
      <c r="V12" s="164"/>
      <c r="W12" s="164"/>
      <c r="X12" s="164"/>
      <c r="Y12" s="164"/>
    </row>
    <row r="13" spans="1:25" s="306" customFormat="1" ht="60" x14ac:dyDescent="0.2">
      <c r="A13" s="164"/>
      <c r="B13" s="286" t="s">
        <v>583</v>
      </c>
      <c r="C13" s="364"/>
      <c r="D13" s="1038" t="s">
        <v>565</v>
      </c>
      <c r="E13" s="1039"/>
      <c r="F13" s="1039"/>
      <c r="G13" s="1026"/>
      <c r="H13" s="1027"/>
      <c r="I13" s="1028"/>
      <c r="J13" s="1029" t="s">
        <v>574</v>
      </c>
      <c r="K13" s="1030"/>
      <c r="L13" s="1030"/>
      <c r="M13" s="1031"/>
      <c r="N13" s="608" t="s">
        <v>714</v>
      </c>
      <c r="O13" s="164"/>
      <c r="P13" s="164"/>
      <c r="Q13" s="164"/>
      <c r="R13" s="164"/>
      <c r="S13" s="164"/>
      <c r="T13" s="164"/>
      <c r="U13" s="164"/>
      <c r="V13" s="164"/>
      <c r="W13" s="164"/>
      <c r="X13" s="164"/>
      <c r="Y13" s="164"/>
    </row>
    <row r="14" spans="1:25" s="306" customFormat="1" ht="24.95" customHeight="1" x14ac:dyDescent="0.2">
      <c r="A14" s="164"/>
      <c r="B14" s="1084" t="s">
        <v>320</v>
      </c>
      <c r="C14" s="1085"/>
      <c r="D14" s="1085"/>
      <c r="E14" s="1085"/>
      <c r="F14" s="1085"/>
      <c r="G14" s="1085"/>
      <c r="H14" s="1085"/>
      <c r="I14" s="1085"/>
      <c r="J14" s="1085"/>
      <c r="K14" s="1085"/>
      <c r="L14" s="1085"/>
      <c r="M14" s="1086"/>
      <c r="N14" s="368"/>
      <c r="O14" s="369"/>
      <c r="P14" s="369"/>
      <c r="Q14" s="369"/>
      <c r="R14" s="369"/>
      <c r="S14" s="369"/>
      <c r="T14" s="369"/>
      <c r="U14" s="164"/>
      <c r="V14" s="164"/>
      <c r="W14" s="164"/>
      <c r="X14" s="164"/>
      <c r="Y14" s="164"/>
    </row>
    <row r="15" spans="1:25" s="327" customFormat="1" ht="35.1" customHeight="1" x14ac:dyDescent="0.2">
      <c r="A15" s="326"/>
      <c r="B15" s="1089" t="s">
        <v>273</v>
      </c>
      <c r="C15" s="1090"/>
      <c r="D15" s="1093" t="s">
        <v>715</v>
      </c>
      <c r="E15" s="1093"/>
      <c r="F15" s="1093" t="s">
        <v>716</v>
      </c>
      <c r="G15" s="1093"/>
      <c r="H15" s="1093" t="s">
        <v>717</v>
      </c>
      <c r="I15" s="1093"/>
      <c r="J15" s="1093" t="s">
        <v>718</v>
      </c>
      <c r="K15" s="1093"/>
      <c r="L15" s="1093" t="s">
        <v>719</v>
      </c>
      <c r="M15" s="1115"/>
      <c r="N15" s="1119" t="s">
        <v>741</v>
      </c>
      <c r="O15" s="326"/>
      <c r="P15" s="326"/>
      <c r="Q15" s="326"/>
      <c r="R15" s="326"/>
      <c r="S15" s="326"/>
      <c r="T15" s="326"/>
      <c r="U15" s="326"/>
      <c r="V15" s="326"/>
      <c r="W15" s="326"/>
      <c r="X15" s="326"/>
      <c r="Y15" s="326"/>
    </row>
    <row r="16" spans="1:25" s="327" customFormat="1" x14ac:dyDescent="0.2">
      <c r="A16" s="326"/>
      <c r="B16" s="1089"/>
      <c r="C16" s="1090"/>
      <c r="D16" s="131" t="s">
        <v>281</v>
      </c>
      <c r="E16" s="131" t="s">
        <v>282</v>
      </c>
      <c r="F16" s="131" t="s">
        <v>281</v>
      </c>
      <c r="G16" s="131" t="s">
        <v>282</v>
      </c>
      <c r="H16" s="131" t="s">
        <v>281</v>
      </c>
      <c r="I16" s="131" t="s">
        <v>282</v>
      </c>
      <c r="J16" s="131" t="s">
        <v>281</v>
      </c>
      <c r="K16" s="131" t="s">
        <v>282</v>
      </c>
      <c r="L16" s="131" t="s">
        <v>281</v>
      </c>
      <c r="M16" s="240" t="s">
        <v>282</v>
      </c>
      <c r="N16" s="1119"/>
      <c r="O16" s="326"/>
      <c r="P16" s="326"/>
      <c r="Q16" s="326"/>
      <c r="R16" s="326"/>
      <c r="S16" s="326"/>
      <c r="T16" s="326"/>
      <c r="U16" s="326"/>
      <c r="V16" s="326"/>
      <c r="W16" s="326"/>
      <c r="X16" s="326"/>
      <c r="Y16" s="326"/>
    </row>
    <row r="17" spans="1:25" s="327" customFormat="1" ht="24.95" customHeight="1" x14ac:dyDescent="0.2">
      <c r="A17" s="326"/>
      <c r="B17" s="1091" t="s">
        <v>12</v>
      </c>
      <c r="C17" s="1092"/>
      <c r="D17" s="364"/>
      <c r="E17" s="364"/>
      <c r="F17" s="364"/>
      <c r="G17" s="364"/>
      <c r="H17" s="364"/>
      <c r="I17" s="364"/>
      <c r="J17" s="364"/>
      <c r="K17" s="364"/>
      <c r="L17" s="364"/>
      <c r="M17" s="365"/>
      <c r="N17" s="1119"/>
      <c r="O17" s="326"/>
      <c r="P17" s="326"/>
      <c r="Q17" s="326"/>
      <c r="R17" s="326"/>
      <c r="S17" s="326"/>
      <c r="T17" s="326"/>
      <c r="U17" s="326"/>
      <c r="V17" s="326"/>
      <c r="W17" s="326"/>
      <c r="X17" s="326"/>
      <c r="Y17" s="326"/>
    </row>
    <row r="18" spans="1:25" s="327" customFormat="1" ht="24.95" customHeight="1" x14ac:dyDescent="0.2">
      <c r="A18" s="326"/>
      <c r="B18" s="1091" t="s">
        <v>253</v>
      </c>
      <c r="C18" s="1092"/>
      <c r="D18" s="364"/>
      <c r="E18" s="364"/>
      <c r="F18" s="364"/>
      <c r="G18" s="364"/>
      <c r="H18" s="364"/>
      <c r="I18" s="364"/>
      <c r="J18" s="364"/>
      <c r="K18" s="364"/>
      <c r="L18" s="364"/>
      <c r="M18" s="365"/>
      <c r="N18" s="1119"/>
      <c r="O18" s="326"/>
      <c r="P18" s="326"/>
      <c r="Q18" s="326"/>
      <c r="R18" s="326"/>
      <c r="S18" s="326"/>
      <c r="T18" s="326"/>
      <c r="U18" s="326"/>
      <c r="V18" s="326"/>
      <c r="W18" s="326"/>
      <c r="X18" s="326"/>
      <c r="Y18" s="326"/>
    </row>
    <row r="19" spans="1:25" s="327" customFormat="1" ht="24.95" customHeight="1" x14ac:dyDescent="0.2">
      <c r="A19" s="326"/>
      <c r="B19" s="1091" t="s">
        <v>260</v>
      </c>
      <c r="C19" s="1092"/>
      <c r="D19" s="364"/>
      <c r="E19" s="364"/>
      <c r="F19" s="364"/>
      <c r="G19" s="364"/>
      <c r="H19" s="364"/>
      <c r="I19" s="364"/>
      <c r="J19" s="364"/>
      <c r="K19" s="364"/>
      <c r="L19" s="364"/>
      <c r="M19" s="365"/>
      <c r="N19" s="1119"/>
      <c r="O19" s="326"/>
      <c r="P19" s="326"/>
      <c r="Q19" s="326"/>
      <c r="R19" s="326"/>
      <c r="S19" s="326"/>
      <c r="T19" s="326"/>
      <c r="U19" s="326"/>
      <c r="V19" s="326"/>
      <c r="W19" s="326"/>
      <c r="X19" s="326"/>
      <c r="Y19" s="326"/>
    </row>
    <row r="20" spans="1:25" s="327" customFormat="1" ht="24.95" customHeight="1" x14ac:dyDescent="0.2">
      <c r="A20" s="326"/>
      <c r="B20" s="1091" t="s">
        <v>254</v>
      </c>
      <c r="C20" s="1092"/>
      <c r="D20" s="364"/>
      <c r="E20" s="364"/>
      <c r="F20" s="364"/>
      <c r="G20" s="364"/>
      <c r="H20" s="364"/>
      <c r="I20" s="364"/>
      <c r="J20" s="364"/>
      <c r="K20" s="364"/>
      <c r="L20" s="364"/>
      <c r="M20" s="365"/>
      <c r="N20" s="1119"/>
      <c r="O20" s="326"/>
      <c r="P20" s="326"/>
      <c r="Q20" s="326"/>
      <c r="R20" s="326"/>
      <c r="S20" s="326"/>
      <c r="T20" s="326"/>
      <c r="U20" s="326"/>
      <c r="V20" s="326"/>
      <c r="W20" s="326"/>
      <c r="X20" s="326"/>
      <c r="Y20" s="326"/>
    </row>
    <row r="21" spans="1:25" s="327" customFormat="1" ht="24.95" customHeight="1" x14ac:dyDescent="0.2">
      <c r="A21" s="326"/>
      <c r="B21" s="1091" t="s">
        <v>255</v>
      </c>
      <c r="C21" s="1092"/>
      <c r="D21" s="364"/>
      <c r="E21" s="364"/>
      <c r="F21" s="364"/>
      <c r="G21" s="364"/>
      <c r="H21" s="364"/>
      <c r="I21" s="364"/>
      <c r="J21" s="364"/>
      <c r="K21" s="364"/>
      <c r="L21" s="364"/>
      <c r="M21" s="365"/>
      <c r="N21" s="1119"/>
      <c r="O21" s="326"/>
      <c r="P21" s="326"/>
      <c r="Q21" s="326"/>
      <c r="R21" s="326"/>
      <c r="S21" s="326"/>
      <c r="T21" s="326"/>
      <c r="U21" s="326"/>
      <c r="V21" s="326"/>
      <c r="W21" s="326"/>
      <c r="X21" s="326"/>
      <c r="Y21" s="326"/>
    </row>
    <row r="22" spans="1:25" ht="24.95" customHeight="1" x14ac:dyDescent="0.2">
      <c r="B22" s="1091" t="s">
        <v>256</v>
      </c>
      <c r="C22" s="1092"/>
      <c r="D22" s="364"/>
      <c r="E22" s="364"/>
      <c r="F22" s="364"/>
      <c r="G22" s="364"/>
      <c r="H22" s="364"/>
      <c r="I22" s="364"/>
      <c r="J22" s="364"/>
      <c r="K22" s="364"/>
      <c r="L22" s="364"/>
      <c r="M22" s="365"/>
      <c r="N22" s="1119"/>
    </row>
    <row r="23" spans="1:25" ht="24.95" customHeight="1" x14ac:dyDescent="0.2">
      <c r="B23" s="1091" t="s">
        <v>257</v>
      </c>
      <c r="C23" s="1092"/>
      <c r="D23" s="364"/>
      <c r="E23" s="364"/>
      <c r="F23" s="364"/>
      <c r="G23" s="364"/>
      <c r="H23" s="364"/>
      <c r="I23" s="364"/>
      <c r="J23" s="364"/>
      <c r="K23" s="364"/>
      <c r="L23" s="364"/>
      <c r="M23" s="365"/>
      <c r="N23" s="370"/>
    </row>
    <row r="24" spans="1:25" ht="24.95" customHeight="1" x14ac:dyDescent="0.2">
      <c r="B24" s="1091" t="s">
        <v>245</v>
      </c>
      <c r="C24" s="1092"/>
      <c r="D24" s="364"/>
      <c r="E24" s="364"/>
      <c r="F24" s="364"/>
      <c r="G24" s="364"/>
      <c r="H24" s="364"/>
      <c r="I24" s="364"/>
      <c r="J24" s="364"/>
      <c r="K24" s="364"/>
      <c r="L24" s="364"/>
      <c r="M24" s="365"/>
      <c r="N24" s="370"/>
    </row>
    <row r="25" spans="1:25" ht="24.95" customHeight="1" x14ac:dyDescent="0.2">
      <c r="B25" s="1091" t="s">
        <v>44</v>
      </c>
      <c r="C25" s="1092"/>
      <c r="D25" s="364"/>
      <c r="E25" s="364"/>
      <c r="F25" s="364"/>
      <c r="G25" s="364"/>
      <c r="H25" s="364"/>
      <c r="I25" s="364"/>
      <c r="J25" s="364"/>
      <c r="K25" s="364"/>
      <c r="L25" s="364"/>
      <c r="M25" s="365"/>
      <c r="N25" s="446" t="str">
        <f>IF(SUM( D17:D25,F17:F25,H17:H25,J17:J25,L17:L25)=C9,"","DOES NOT MATCH SITE ACREAGES")</f>
        <v/>
      </c>
    </row>
    <row r="26" spans="1:25" s="373" customFormat="1" ht="15.75" hidden="1" x14ac:dyDescent="0.25">
      <c r="A26" s="574"/>
      <c r="B26" s="371" t="s">
        <v>291</v>
      </c>
      <c r="C26" s="372"/>
      <c r="D26" s="315">
        <f>SUM(D17:D25)</f>
        <v>0</v>
      </c>
      <c r="E26" s="315">
        <f t="shared" ref="E26:M26" si="0">SUM(E17:E25)</f>
        <v>0</v>
      </c>
      <c r="F26" s="315">
        <f t="shared" si="0"/>
        <v>0</v>
      </c>
      <c r="G26" s="315">
        <f t="shared" si="0"/>
        <v>0</v>
      </c>
      <c r="H26" s="315">
        <f t="shared" si="0"/>
        <v>0</v>
      </c>
      <c r="I26" s="315">
        <f t="shared" si="0"/>
        <v>0</v>
      </c>
      <c r="J26" s="315">
        <f t="shared" si="0"/>
        <v>0</v>
      </c>
      <c r="K26" s="315">
        <f t="shared" si="0"/>
        <v>0</v>
      </c>
      <c r="L26" s="315">
        <f t="shared" si="0"/>
        <v>0</v>
      </c>
      <c r="M26" s="316">
        <f t="shared" si="0"/>
        <v>0</v>
      </c>
      <c r="N26" s="330"/>
      <c r="O26" s="574"/>
      <c r="P26" s="574"/>
      <c r="Q26" s="574"/>
      <c r="R26" s="574"/>
      <c r="S26" s="574"/>
      <c r="T26" s="574"/>
      <c r="U26" s="574"/>
      <c r="V26" s="574"/>
      <c r="W26" s="574"/>
      <c r="X26" s="574"/>
      <c r="Y26" s="574"/>
    </row>
    <row r="27" spans="1:25" s="306" customFormat="1" ht="15.75" x14ac:dyDescent="0.2">
      <c r="A27" s="164"/>
      <c r="B27" s="953" t="s">
        <v>286</v>
      </c>
      <c r="C27" s="954"/>
      <c r="D27" s="954"/>
      <c r="E27" s="954"/>
      <c r="F27" s="954"/>
      <c r="G27" s="954"/>
      <c r="H27" s="954"/>
      <c r="I27" s="954"/>
      <c r="J27" s="954"/>
      <c r="K27" s="954"/>
      <c r="L27" s="954"/>
      <c r="M27" s="955"/>
      <c r="N27" s="324"/>
      <c r="O27" s="164"/>
      <c r="P27" s="164"/>
      <c r="Q27" s="164"/>
      <c r="R27" s="164"/>
      <c r="S27" s="164"/>
      <c r="T27" s="164"/>
      <c r="U27" s="164"/>
      <c r="V27" s="164"/>
      <c r="W27" s="164"/>
      <c r="X27" s="164"/>
      <c r="Y27" s="164"/>
    </row>
    <row r="28" spans="1:25" s="507" customFormat="1" ht="79.5" customHeight="1" x14ac:dyDescent="0.2">
      <c r="B28" s="374" t="s">
        <v>318</v>
      </c>
      <c r="C28" s="375" t="s">
        <v>284</v>
      </c>
      <c r="D28" s="1034" t="s">
        <v>568</v>
      </c>
      <c r="E28" s="1034"/>
      <c r="F28" s="1034"/>
      <c r="G28" s="1040" t="s">
        <v>567</v>
      </c>
      <c r="H28" s="1041"/>
      <c r="I28" s="1042"/>
      <c r="J28" s="631" t="s">
        <v>269</v>
      </c>
      <c r="K28" s="631" t="s">
        <v>491</v>
      </c>
      <c r="L28" s="631" t="s">
        <v>492</v>
      </c>
      <c r="M28" s="376" t="s">
        <v>322</v>
      </c>
      <c r="N28" s="377" t="s">
        <v>321</v>
      </c>
    </row>
    <row r="29" spans="1:25" ht="24.95" customHeight="1" x14ac:dyDescent="0.2">
      <c r="B29" s="562"/>
      <c r="C29" s="400"/>
      <c r="D29" s="1043" t="e">
        <f>IF('SITE SUMMARY'!$G$35="High",E151,"-")</f>
        <v>#DIV/0!</v>
      </c>
      <c r="E29" s="1044"/>
      <c r="F29" s="1045"/>
      <c r="G29" s="1120"/>
      <c r="H29" s="1121"/>
      <c r="I29" s="1122"/>
      <c r="J29" s="378">
        <f>IF(ISERROR(VLOOKUP(C29,BMP,2,FALSE)),0,VLOOKUP(C29,BMP,2,FALSE))</f>
        <v>0</v>
      </c>
      <c r="K29" s="625">
        <f>IF(ISERROR($E$114),0,$E$114)</f>
        <v>0</v>
      </c>
      <c r="L29" s="625">
        <f>IF(ISERROR(K29*J29),0,K29*J29)</f>
        <v>0</v>
      </c>
      <c r="M29" s="401"/>
      <c r="N29" s="377"/>
      <c r="O29" s="379"/>
      <c r="P29" s="379"/>
      <c r="Q29" s="379"/>
      <c r="R29" s="379"/>
      <c r="S29" s="379"/>
      <c r="T29" s="379"/>
    </row>
    <row r="30" spans="1:25" ht="24.95" customHeight="1" x14ac:dyDescent="0.2">
      <c r="B30" s="563"/>
      <c r="C30" s="400"/>
      <c r="D30" s="1046"/>
      <c r="E30" s="1047"/>
      <c r="F30" s="1048"/>
      <c r="G30" s="1123"/>
      <c r="H30" s="1124"/>
      <c r="I30" s="1125"/>
      <c r="J30" s="378">
        <f>IF(ISERROR(VLOOKUP(C30,BMP,2,FALSE)),0,VLOOKUP(C30,BMP,2,FALSE))</f>
        <v>0</v>
      </c>
      <c r="K30" s="625">
        <f>IF(ISERROR(K29-L29),0,K29-L29)</f>
        <v>0</v>
      </c>
      <c r="L30" s="625">
        <f>IF(ISERROR(K30*J30),0,K30*J30)</f>
        <v>0</v>
      </c>
      <c r="M30" s="401"/>
      <c r="N30" s="380"/>
    </row>
    <row r="31" spans="1:25" ht="24.95" customHeight="1" x14ac:dyDescent="0.2">
      <c r="B31" s="563"/>
      <c r="C31" s="400"/>
      <c r="D31" s="1046"/>
      <c r="E31" s="1047"/>
      <c r="F31" s="1048"/>
      <c r="G31" s="1123"/>
      <c r="H31" s="1124"/>
      <c r="I31" s="1125"/>
      <c r="J31" s="378">
        <f>IF(ISERROR(VLOOKUP(C31,BMP,2,FALSE)),0,VLOOKUP(C31,BMP,2,FALSE))</f>
        <v>0</v>
      </c>
      <c r="K31" s="625">
        <f>IF(ISERROR(K30-L30),0,K30-L30)</f>
        <v>0</v>
      </c>
      <c r="L31" s="625">
        <f>IF(ISERROR(K31*J31),0,K31*J31)</f>
        <v>0</v>
      </c>
      <c r="M31" s="401"/>
      <c r="N31" s="380"/>
    </row>
    <row r="32" spans="1:25" ht="24.95" customHeight="1" x14ac:dyDescent="0.2">
      <c r="B32" s="563"/>
      <c r="C32" s="400"/>
      <c r="D32" s="1046"/>
      <c r="E32" s="1047"/>
      <c r="F32" s="1048"/>
      <c r="G32" s="1123"/>
      <c r="H32" s="1124"/>
      <c r="I32" s="1125"/>
      <c r="J32" s="378">
        <f>IF(ISERROR(VLOOKUP(C32,BMP,2,FALSE)),0,VLOOKUP(C32,BMP,2,FALSE))</f>
        <v>0</v>
      </c>
      <c r="K32" s="625">
        <f>IF(ISERROR(K31-L31),0,K31-L31)</f>
        <v>0</v>
      </c>
      <c r="L32" s="625">
        <f>IF(ISERROR(K32*J32),0,K32*J32)</f>
        <v>0</v>
      </c>
      <c r="M32" s="401"/>
      <c r="N32" s="380"/>
    </row>
    <row r="33" spans="1:25" ht="24.95" customHeight="1" x14ac:dyDescent="0.2">
      <c r="B33" s="563"/>
      <c r="C33" s="400"/>
      <c r="D33" s="1049"/>
      <c r="E33" s="1050"/>
      <c r="F33" s="1051"/>
      <c r="G33" s="1126"/>
      <c r="H33" s="1127"/>
      <c r="I33" s="1128"/>
      <c r="J33" s="378">
        <f>IF(ISERROR(VLOOKUP(C33,BMP,2,FALSE)),0,VLOOKUP(C33,BMP,2,FALSE))</f>
        <v>0</v>
      </c>
      <c r="K33" s="625">
        <f>IF(ISERROR(K32-L32),0,K32-L32)</f>
        <v>0</v>
      </c>
      <c r="L33" s="625">
        <f>IF(ISERROR(K33*J33),0,K33*J33)</f>
        <v>0</v>
      </c>
      <c r="M33" s="401"/>
      <c r="N33" s="381"/>
    </row>
    <row r="34" spans="1:25" ht="24.95" customHeight="1" x14ac:dyDescent="0.2">
      <c r="B34" s="1052" t="s">
        <v>371</v>
      </c>
      <c r="C34" s="1053"/>
      <c r="D34" s="1054">
        <f>IF(J33&gt;0,K306-L33,IF(J32&gt;0,K32-L32,IF(J31&gt;0,K31-L31,IF(J30&gt;0,K30-L30,K29-L29))))</f>
        <v>0</v>
      </c>
      <c r="E34" s="1055"/>
      <c r="F34" s="1055"/>
      <c r="G34" s="1055"/>
      <c r="H34" s="1055"/>
      <c r="I34" s="1055"/>
      <c r="J34" s="1055"/>
      <c r="K34" s="1055"/>
      <c r="L34" s="1055"/>
      <c r="M34" s="1056"/>
      <c r="N34" s="382"/>
    </row>
    <row r="35" spans="1:25" s="306" customFormat="1" ht="24.95" customHeight="1" x14ac:dyDescent="0.2">
      <c r="A35" s="164"/>
      <c r="B35" s="953" t="s">
        <v>285</v>
      </c>
      <c r="C35" s="954"/>
      <c r="D35" s="954"/>
      <c r="E35" s="954"/>
      <c r="F35" s="954"/>
      <c r="G35" s="954"/>
      <c r="H35" s="954"/>
      <c r="I35" s="954"/>
      <c r="J35" s="954"/>
      <c r="K35" s="954"/>
      <c r="L35" s="954"/>
      <c r="M35" s="955"/>
      <c r="N35" s="382"/>
      <c r="O35" s="164"/>
      <c r="P35" s="164"/>
      <c r="Q35" s="164"/>
      <c r="R35" s="164"/>
      <c r="S35" s="164"/>
      <c r="T35" s="164"/>
      <c r="U35" s="164"/>
      <c r="V35" s="164"/>
      <c r="W35" s="164"/>
      <c r="X35" s="164"/>
      <c r="Y35" s="164"/>
    </row>
    <row r="36" spans="1:25" s="507" customFormat="1" ht="39.75" customHeight="1" x14ac:dyDescent="0.2">
      <c r="B36" s="1019" t="s">
        <v>584</v>
      </c>
      <c r="C36" s="1020"/>
      <c r="D36" s="1057"/>
      <c r="E36" s="1058"/>
      <c r="F36" s="1058"/>
      <c r="G36" s="1058"/>
      <c r="H36" s="1058"/>
      <c r="I36" s="1058"/>
      <c r="J36" s="1058"/>
      <c r="K36" s="1058"/>
      <c r="L36" s="1058"/>
      <c r="M36" s="1059"/>
      <c r="N36" s="382"/>
    </row>
    <row r="37" spans="1:25" s="507" customFormat="1" ht="39.75" hidden="1" customHeight="1" x14ac:dyDescent="0.2">
      <c r="B37" s="1019" t="s">
        <v>585</v>
      </c>
      <c r="C37" s="1020"/>
      <c r="D37" s="1129"/>
      <c r="E37" s="1130"/>
      <c r="F37" s="1130"/>
      <c r="G37" s="1130"/>
      <c r="H37" s="1130"/>
      <c r="I37" s="1130"/>
      <c r="J37" s="1130"/>
      <c r="K37" s="1130"/>
      <c r="L37" s="1130"/>
      <c r="M37" s="1131"/>
      <c r="N37" s="382"/>
    </row>
    <row r="38" spans="1:25" s="507" customFormat="1" ht="79.5" customHeight="1" x14ac:dyDescent="0.2">
      <c r="B38" s="374" t="s">
        <v>318</v>
      </c>
      <c r="C38" s="375" t="s">
        <v>284</v>
      </c>
      <c r="D38" s="1034" t="s">
        <v>568</v>
      </c>
      <c r="E38" s="1034"/>
      <c r="F38" s="1034"/>
      <c r="G38" s="1034" t="s">
        <v>490</v>
      </c>
      <c r="H38" s="1034"/>
      <c r="I38" s="1034"/>
      <c r="J38" s="631" t="s">
        <v>269</v>
      </c>
      <c r="K38" s="631" t="s">
        <v>491</v>
      </c>
      <c r="L38" s="631" t="s">
        <v>492</v>
      </c>
      <c r="M38" s="376" t="s">
        <v>322</v>
      </c>
      <c r="N38" s="382"/>
    </row>
    <row r="39" spans="1:25" ht="24.95" customHeight="1" x14ac:dyDescent="0.2">
      <c r="B39" s="399"/>
      <c r="C39" s="400"/>
      <c r="D39" s="1043" t="e">
        <f>IF('SITE SUMMARY'!$G$35="High",E155,"-")</f>
        <v>#DIV/0!</v>
      </c>
      <c r="E39" s="1044"/>
      <c r="F39" s="1045"/>
      <c r="G39" s="1060"/>
      <c r="H39" s="1061"/>
      <c r="I39" s="1062"/>
      <c r="J39" s="378">
        <f>IF(ISERROR(VLOOKUP(C39,BMP,2,FALSE)),0,VLOOKUP(C39,BMP,2,FALSE))</f>
        <v>0</v>
      </c>
      <c r="K39" s="625">
        <f>IF(ISERROR($F$114),D36,$F$114+D36)</f>
        <v>0</v>
      </c>
      <c r="L39" s="625">
        <f>IF(ISERROR(K39*J39),0,K39*J39)</f>
        <v>0</v>
      </c>
      <c r="M39" s="401"/>
      <c r="N39" s="382"/>
      <c r="O39" s="379"/>
      <c r="P39" s="379"/>
      <c r="Q39" s="379"/>
      <c r="R39" s="379"/>
      <c r="S39" s="379"/>
      <c r="T39" s="379"/>
    </row>
    <row r="40" spans="1:25" ht="24.95" customHeight="1" x14ac:dyDescent="0.2">
      <c r="B40" s="399"/>
      <c r="C40" s="400"/>
      <c r="D40" s="1046"/>
      <c r="E40" s="1047"/>
      <c r="F40" s="1048"/>
      <c r="G40" s="1063"/>
      <c r="H40" s="1064"/>
      <c r="I40" s="1065"/>
      <c r="J40" s="378">
        <f>IF(ISERROR(VLOOKUP(C40,BMP,2,FALSE)),0,VLOOKUP(C40,BMP,2,FALSE))</f>
        <v>0</v>
      </c>
      <c r="K40" s="625">
        <f>IF(ISERROR(K39-L39),0,K39-L39)</f>
        <v>0</v>
      </c>
      <c r="L40" s="625">
        <f>IF(ISERROR(K40*J40),0,K40*J40)</f>
        <v>0</v>
      </c>
      <c r="M40" s="401"/>
      <c r="N40" s="382"/>
    </row>
    <row r="41" spans="1:25" ht="24.75" customHeight="1" x14ac:dyDescent="0.2">
      <c r="B41" s="399"/>
      <c r="C41" s="400"/>
      <c r="D41" s="1046"/>
      <c r="E41" s="1047"/>
      <c r="F41" s="1048"/>
      <c r="G41" s="1063"/>
      <c r="H41" s="1064"/>
      <c r="I41" s="1065"/>
      <c r="J41" s="378">
        <f>IF(ISERROR(VLOOKUP(C41,BMP,2,FALSE)),0,VLOOKUP(C41,BMP,2,FALSE))</f>
        <v>0</v>
      </c>
      <c r="K41" s="625">
        <f>IF(ISERROR(K40-L40),0,K40-L40)</f>
        <v>0</v>
      </c>
      <c r="L41" s="625">
        <f>IF(ISERROR(K41*J41),0,K41*J41)</f>
        <v>0</v>
      </c>
      <c r="M41" s="401"/>
      <c r="N41" s="382"/>
    </row>
    <row r="42" spans="1:25" ht="24.95" customHeight="1" x14ac:dyDescent="0.2">
      <c r="B42" s="399"/>
      <c r="C42" s="400"/>
      <c r="D42" s="1046"/>
      <c r="E42" s="1047"/>
      <c r="F42" s="1048"/>
      <c r="G42" s="1063"/>
      <c r="H42" s="1064"/>
      <c r="I42" s="1065"/>
      <c r="J42" s="378">
        <f>IF(ISERROR(VLOOKUP(C42,BMP,2,FALSE)),0,VLOOKUP(C42,BMP,2,FALSE))</f>
        <v>0</v>
      </c>
      <c r="K42" s="625">
        <f>IF(ISERROR(K41-L41),0,K41-L41)</f>
        <v>0</v>
      </c>
      <c r="L42" s="625">
        <f>IF(ISERROR(K42*J42),0,K42*J42)</f>
        <v>0</v>
      </c>
      <c r="M42" s="401"/>
      <c r="N42" s="382"/>
    </row>
    <row r="43" spans="1:25" ht="24.95" customHeight="1" x14ac:dyDescent="0.2">
      <c r="B43" s="399"/>
      <c r="C43" s="400"/>
      <c r="D43" s="1049"/>
      <c r="E43" s="1050"/>
      <c r="F43" s="1051"/>
      <c r="G43" s="1066"/>
      <c r="H43" s="1067"/>
      <c r="I43" s="1068"/>
      <c r="J43" s="378">
        <f>IF(ISERROR(VLOOKUP(C43,BMP,2,FALSE)),0,VLOOKUP(C43,BMP,2,FALSE))</f>
        <v>0</v>
      </c>
      <c r="K43" s="625">
        <f>IF(ISERROR(K42-L42),0,K42-L42)</f>
        <v>0</v>
      </c>
      <c r="L43" s="625">
        <f>IF(ISERROR(K43*J43),0,K43*J43)</f>
        <v>0</v>
      </c>
      <c r="M43" s="401"/>
      <c r="N43" s="381"/>
    </row>
    <row r="44" spans="1:25" ht="24.95" customHeight="1" x14ac:dyDescent="0.2">
      <c r="B44" s="1052" t="s">
        <v>371</v>
      </c>
      <c r="C44" s="1053"/>
      <c r="D44" s="1054">
        <f>IF(J43&gt;0,K43-L43,IF(J42&gt;0,K42-L42,IF(J41&gt;0,K41-L41,IF(J40&gt;0,K40-L40,K39-L39))))</f>
        <v>0</v>
      </c>
      <c r="E44" s="1055"/>
      <c r="F44" s="1055"/>
      <c r="G44" s="1055"/>
      <c r="H44" s="1055"/>
      <c r="I44" s="1055"/>
      <c r="J44" s="1055"/>
      <c r="K44" s="1055"/>
      <c r="L44" s="1055"/>
      <c r="M44" s="1056"/>
      <c r="N44" s="382"/>
    </row>
    <row r="45" spans="1:25" s="306" customFormat="1" ht="24.95" customHeight="1" x14ac:dyDescent="0.2">
      <c r="A45" s="164"/>
      <c r="B45" s="953" t="s">
        <v>298</v>
      </c>
      <c r="C45" s="954"/>
      <c r="D45" s="954"/>
      <c r="E45" s="954"/>
      <c r="F45" s="954"/>
      <c r="G45" s="954"/>
      <c r="H45" s="954"/>
      <c r="I45" s="954"/>
      <c r="J45" s="954"/>
      <c r="K45" s="954"/>
      <c r="L45" s="954"/>
      <c r="M45" s="955"/>
      <c r="N45" s="382"/>
      <c r="O45" s="164"/>
      <c r="P45" s="164"/>
      <c r="Q45" s="164"/>
      <c r="R45" s="164"/>
      <c r="S45" s="164"/>
      <c r="T45" s="164"/>
      <c r="U45" s="164"/>
      <c r="V45" s="164"/>
      <c r="W45" s="164"/>
      <c r="X45" s="164"/>
      <c r="Y45" s="164"/>
    </row>
    <row r="46" spans="1:25" s="507" customFormat="1" ht="39.950000000000003" customHeight="1" x14ac:dyDescent="0.2">
      <c r="B46" s="1019" t="s">
        <v>586</v>
      </c>
      <c r="C46" s="1020"/>
      <c r="D46" s="1057"/>
      <c r="E46" s="1058"/>
      <c r="F46" s="1058"/>
      <c r="G46" s="1058"/>
      <c r="H46" s="1058"/>
      <c r="I46" s="1058"/>
      <c r="J46" s="1058"/>
      <c r="K46" s="1058"/>
      <c r="L46" s="1058"/>
      <c r="M46" s="1059"/>
      <c r="N46" s="382"/>
    </row>
    <row r="47" spans="1:25" s="507" customFormat="1" ht="39.950000000000003" hidden="1" customHeight="1" x14ac:dyDescent="0.2">
      <c r="B47" s="1019" t="s">
        <v>587</v>
      </c>
      <c r="C47" s="1020"/>
      <c r="D47" s="1129"/>
      <c r="E47" s="1130"/>
      <c r="F47" s="1130"/>
      <c r="G47" s="1130"/>
      <c r="H47" s="1130"/>
      <c r="I47" s="1130"/>
      <c r="J47" s="1130"/>
      <c r="K47" s="1130"/>
      <c r="L47" s="1130"/>
      <c r="M47" s="1131"/>
      <c r="N47" s="382"/>
    </row>
    <row r="48" spans="1:25" s="507" customFormat="1" ht="79.5" customHeight="1" x14ac:dyDescent="0.2">
      <c r="B48" s="374" t="s">
        <v>318</v>
      </c>
      <c r="C48" s="375" t="s">
        <v>284</v>
      </c>
      <c r="D48" s="1034" t="s">
        <v>568</v>
      </c>
      <c r="E48" s="1034"/>
      <c r="F48" s="1034"/>
      <c r="G48" s="1040" t="s">
        <v>490</v>
      </c>
      <c r="H48" s="1041"/>
      <c r="I48" s="1042"/>
      <c r="J48" s="631" t="s">
        <v>269</v>
      </c>
      <c r="K48" s="631" t="s">
        <v>491</v>
      </c>
      <c r="L48" s="631" t="s">
        <v>492</v>
      </c>
      <c r="M48" s="376" t="s">
        <v>322</v>
      </c>
      <c r="N48" s="382"/>
    </row>
    <row r="49" spans="1:25" ht="24.95" customHeight="1" x14ac:dyDescent="0.2">
      <c r="B49" s="399"/>
      <c r="C49" s="400"/>
      <c r="D49" s="1043" t="e">
        <f>IF('SITE SUMMARY'!$G$35="High",E159,"-")</f>
        <v>#DIV/0!</v>
      </c>
      <c r="E49" s="1044"/>
      <c r="F49" s="1045"/>
      <c r="G49" s="1060"/>
      <c r="H49" s="1061"/>
      <c r="I49" s="1062"/>
      <c r="J49" s="378">
        <f>IF(ISERROR(VLOOKUP(C49,BMP,2,FALSE)),0,VLOOKUP(C49,BMP,2,FALSE))</f>
        <v>0</v>
      </c>
      <c r="K49" s="625">
        <f>IF(ISERROR($G$114),D46,$G$114+D46)</f>
        <v>0</v>
      </c>
      <c r="L49" s="625">
        <f>IF(ISERROR(K49*J49),0,K49*J49)</f>
        <v>0</v>
      </c>
      <c r="M49" s="401"/>
      <c r="N49" s="382"/>
      <c r="O49" s="379"/>
      <c r="P49" s="379"/>
      <c r="Q49" s="379"/>
      <c r="R49" s="379"/>
      <c r="S49" s="379"/>
      <c r="T49" s="379"/>
    </row>
    <row r="50" spans="1:25" ht="24.95" customHeight="1" x14ac:dyDescent="0.2">
      <c r="B50" s="399"/>
      <c r="C50" s="400"/>
      <c r="D50" s="1046"/>
      <c r="E50" s="1047"/>
      <c r="F50" s="1048"/>
      <c r="G50" s="1063"/>
      <c r="H50" s="1064"/>
      <c r="I50" s="1065"/>
      <c r="J50" s="378">
        <f>IF(ISERROR(VLOOKUP(C50,BMP,2,FALSE)),0,VLOOKUP(C50,BMP,2,FALSE))</f>
        <v>0</v>
      </c>
      <c r="K50" s="625">
        <f>IF(ISERROR(K49-L49),0,K49-L49)</f>
        <v>0</v>
      </c>
      <c r="L50" s="625">
        <f>IF(ISERROR(K50*J50),0,K50*J50)</f>
        <v>0</v>
      </c>
      <c r="M50" s="401"/>
      <c r="N50" s="382"/>
    </row>
    <row r="51" spans="1:25" ht="24.95" customHeight="1" x14ac:dyDescent="0.2">
      <c r="B51" s="399"/>
      <c r="C51" s="400"/>
      <c r="D51" s="1046"/>
      <c r="E51" s="1047"/>
      <c r="F51" s="1048"/>
      <c r="G51" s="1063"/>
      <c r="H51" s="1064"/>
      <c r="I51" s="1065"/>
      <c r="J51" s="378">
        <f>IF(ISERROR(VLOOKUP(C51,BMP,2,FALSE)),0,VLOOKUP(C51,BMP,2,FALSE))</f>
        <v>0</v>
      </c>
      <c r="K51" s="625">
        <f>IF(ISERROR(K50-L50),0,K50-L50)</f>
        <v>0</v>
      </c>
      <c r="L51" s="625">
        <f>IF(ISERROR(K51*J51),0,K51*J51)</f>
        <v>0</v>
      </c>
      <c r="M51" s="401"/>
      <c r="N51" s="382"/>
    </row>
    <row r="52" spans="1:25" ht="24.95" customHeight="1" x14ac:dyDescent="0.2">
      <c r="B52" s="399"/>
      <c r="C52" s="400"/>
      <c r="D52" s="1046"/>
      <c r="E52" s="1047"/>
      <c r="F52" s="1048"/>
      <c r="G52" s="1063"/>
      <c r="H52" s="1064"/>
      <c r="I52" s="1065"/>
      <c r="J52" s="378">
        <f>IF(ISERROR(VLOOKUP(C52,BMP,2,FALSE)),0,VLOOKUP(C52,BMP,2,FALSE))</f>
        <v>0</v>
      </c>
      <c r="K52" s="625">
        <f>IF(ISERROR(K51-L51),0,K51-L51)</f>
        <v>0</v>
      </c>
      <c r="L52" s="625">
        <f>IF(ISERROR(K52*J52),0,K52*J52)</f>
        <v>0</v>
      </c>
      <c r="M52" s="401"/>
      <c r="N52" s="382"/>
    </row>
    <row r="53" spans="1:25" ht="24.95" customHeight="1" x14ac:dyDescent="0.2">
      <c r="B53" s="399"/>
      <c r="C53" s="400"/>
      <c r="D53" s="1049"/>
      <c r="E53" s="1050"/>
      <c r="F53" s="1051"/>
      <c r="G53" s="1066"/>
      <c r="H53" s="1067"/>
      <c r="I53" s="1068"/>
      <c r="J53" s="378">
        <f>IF(ISERROR(VLOOKUP(C53,BMP,2,FALSE)),0,VLOOKUP(C53,BMP,2,FALSE))</f>
        <v>0</v>
      </c>
      <c r="K53" s="625">
        <f>IF(ISERROR(K52-L52),0,K52-L52)</f>
        <v>0</v>
      </c>
      <c r="L53" s="625">
        <f>IF(ISERROR(K53*J53),0,K53*J53)</f>
        <v>0</v>
      </c>
      <c r="M53" s="401"/>
      <c r="N53" s="381" t="e">
        <f>IF(G49&gt;(D49+5),"Exceeds Available Volume!","")</f>
        <v>#DIV/0!</v>
      </c>
    </row>
    <row r="54" spans="1:25" ht="24.95" customHeight="1" x14ac:dyDescent="0.2">
      <c r="B54" s="1052" t="s">
        <v>371</v>
      </c>
      <c r="C54" s="1053"/>
      <c r="D54" s="1054">
        <f>IF(J53&gt;0,K326-L53,IF(J52&gt;0,K52-L52,IF(J51&gt;0,K51-L51,IF(J50&gt;0,K50-L50,K49-L49))))</f>
        <v>0</v>
      </c>
      <c r="E54" s="1055"/>
      <c r="F54" s="1055"/>
      <c r="G54" s="1055"/>
      <c r="H54" s="1055"/>
      <c r="I54" s="1055"/>
      <c r="J54" s="1055"/>
      <c r="K54" s="1055"/>
      <c r="L54" s="1055"/>
      <c r="M54" s="1056"/>
      <c r="N54" s="382"/>
    </row>
    <row r="55" spans="1:25" s="306" customFormat="1" ht="24.95" customHeight="1" x14ac:dyDescent="0.2">
      <c r="A55" s="164"/>
      <c r="B55" s="953" t="s">
        <v>287</v>
      </c>
      <c r="C55" s="954"/>
      <c r="D55" s="954"/>
      <c r="E55" s="954"/>
      <c r="F55" s="954"/>
      <c r="G55" s="954"/>
      <c r="H55" s="954"/>
      <c r="I55" s="954"/>
      <c r="J55" s="954"/>
      <c r="K55" s="954"/>
      <c r="L55" s="954"/>
      <c r="M55" s="955"/>
      <c r="N55" s="382"/>
      <c r="O55" s="164"/>
      <c r="P55" s="164"/>
      <c r="Q55" s="164"/>
      <c r="R55" s="164"/>
      <c r="S55" s="164"/>
      <c r="T55" s="164"/>
      <c r="U55" s="164"/>
      <c r="V55" s="164"/>
      <c r="W55" s="164"/>
      <c r="X55" s="164"/>
      <c r="Y55" s="164"/>
    </row>
    <row r="56" spans="1:25" s="507" customFormat="1" ht="39.75" customHeight="1" x14ac:dyDescent="0.2">
      <c r="B56" s="1019" t="s">
        <v>499</v>
      </c>
      <c r="C56" s="1020"/>
      <c r="D56" s="1057"/>
      <c r="E56" s="1058"/>
      <c r="F56" s="1058"/>
      <c r="G56" s="1058"/>
      <c r="H56" s="1058"/>
      <c r="I56" s="1058"/>
      <c r="J56" s="1058"/>
      <c r="K56" s="1058"/>
      <c r="L56" s="1058"/>
      <c r="M56" s="1059"/>
      <c r="N56" s="382"/>
    </row>
    <row r="57" spans="1:25" s="507" customFormat="1" ht="39.75" hidden="1" customHeight="1" x14ac:dyDescent="0.2">
      <c r="B57" s="1019" t="s">
        <v>500</v>
      </c>
      <c r="C57" s="1020"/>
      <c r="D57" s="1129"/>
      <c r="E57" s="1130"/>
      <c r="F57" s="1130"/>
      <c r="G57" s="1130"/>
      <c r="H57" s="1130"/>
      <c r="I57" s="1130"/>
      <c r="J57" s="1130"/>
      <c r="K57" s="1130"/>
      <c r="L57" s="1130"/>
      <c r="M57" s="1131"/>
      <c r="N57" s="382"/>
    </row>
    <row r="58" spans="1:25" s="507" customFormat="1" ht="79.5" customHeight="1" x14ac:dyDescent="0.2">
      <c r="B58" s="374" t="s">
        <v>318</v>
      </c>
      <c r="C58" s="375" t="s">
        <v>284</v>
      </c>
      <c r="D58" s="1034" t="s">
        <v>568</v>
      </c>
      <c r="E58" s="1034"/>
      <c r="F58" s="1034"/>
      <c r="G58" s="1040" t="s">
        <v>490</v>
      </c>
      <c r="H58" s="1041"/>
      <c r="I58" s="1042"/>
      <c r="J58" s="631" t="s">
        <v>269</v>
      </c>
      <c r="K58" s="631" t="s">
        <v>491</v>
      </c>
      <c r="L58" s="631" t="s">
        <v>492</v>
      </c>
      <c r="M58" s="376" t="s">
        <v>322</v>
      </c>
      <c r="N58" s="382"/>
    </row>
    <row r="59" spans="1:25" ht="24.95" customHeight="1" x14ac:dyDescent="0.2">
      <c r="B59" s="399"/>
      <c r="C59" s="400"/>
      <c r="D59" s="1043" t="e">
        <f>IF('SITE SUMMARY'!$G$35="High",E163,"-")</f>
        <v>#DIV/0!</v>
      </c>
      <c r="E59" s="1044"/>
      <c r="F59" s="1045"/>
      <c r="G59" s="1060"/>
      <c r="H59" s="1061"/>
      <c r="I59" s="1062"/>
      <c r="J59" s="378">
        <f>IF(ISERROR(VLOOKUP(C59,BMP,2,FALSE)),0,VLOOKUP(C59,BMP,2,FALSE))</f>
        <v>0</v>
      </c>
      <c r="K59" s="625">
        <f>IF(ISERROR($H$114),D56,$H$114+D56)</f>
        <v>0</v>
      </c>
      <c r="L59" s="625">
        <f>IF(ISERROR(K59*J59),0,K59*J59)</f>
        <v>0</v>
      </c>
      <c r="M59" s="401"/>
      <c r="N59" s="382"/>
      <c r="O59" s="379"/>
      <c r="P59" s="379"/>
      <c r="Q59" s="379"/>
      <c r="R59" s="379"/>
      <c r="S59" s="379"/>
      <c r="T59" s="379"/>
    </row>
    <row r="60" spans="1:25" ht="24.95" customHeight="1" x14ac:dyDescent="0.2">
      <c r="B60" s="399"/>
      <c r="C60" s="400"/>
      <c r="D60" s="1046"/>
      <c r="E60" s="1047"/>
      <c r="F60" s="1048"/>
      <c r="G60" s="1063"/>
      <c r="H60" s="1064"/>
      <c r="I60" s="1065"/>
      <c r="J60" s="378">
        <f>IF(ISERROR(VLOOKUP(C60,BMP,2,FALSE)),0,VLOOKUP(C60,BMP,2,FALSE))</f>
        <v>0</v>
      </c>
      <c r="K60" s="625">
        <f>IF(ISERROR(K59-L59),0,K59-L59)</f>
        <v>0</v>
      </c>
      <c r="L60" s="625">
        <f>IF(ISERROR(K60*J60),0,K60*J60)</f>
        <v>0</v>
      </c>
      <c r="M60" s="401"/>
      <c r="N60" s="382"/>
    </row>
    <row r="61" spans="1:25" ht="24.95" customHeight="1" x14ac:dyDescent="0.2">
      <c r="B61" s="399"/>
      <c r="C61" s="400"/>
      <c r="D61" s="1046"/>
      <c r="E61" s="1047"/>
      <c r="F61" s="1048"/>
      <c r="G61" s="1063"/>
      <c r="H61" s="1064"/>
      <c r="I61" s="1065"/>
      <c r="J61" s="378">
        <f>IF(ISERROR(VLOOKUP(C61,BMP,2,FALSE)),0,VLOOKUP(C61,BMP,2,FALSE))</f>
        <v>0</v>
      </c>
      <c r="K61" s="625">
        <f>IF(ISERROR(K60-L60),0,K60-L60)</f>
        <v>0</v>
      </c>
      <c r="L61" s="625">
        <f>IF(ISERROR(K61*J61),0,K61*J61)</f>
        <v>0</v>
      </c>
      <c r="M61" s="401"/>
      <c r="N61" s="382"/>
    </row>
    <row r="62" spans="1:25" ht="24.95" customHeight="1" x14ac:dyDescent="0.2">
      <c r="B62" s="399"/>
      <c r="C62" s="400"/>
      <c r="D62" s="1046"/>
      <c r="E62" s="1047"/>
      <c r="F62" s="1048"/>
      <c r="G62" s="1063"/>
      <c r="H62" s="1064"/>
      <c r="I62" s="1065"/>
      <c r="J62" s="378">
        <f>IF(ISERROR(VLOOKUP(C62,BMP,2,FALSE)),0,VLOOKUP(C62,BMP,2,FALSE))</f>
        <v>0</v>
      </c>
      <c r="K62" s="625">
        <f>IF(ISERROR(K61-L61),0,K61-L61)</f>
        <v>0</v>
      </c>
      <c r="L62" s="625">
        <f>IF(ISERROR(K62*J62),0,K62*J62)</f>
        <v>0</v>
      </c>
      <c r="M62" s="401"/>
      <c r="N62" s="382"/>
    </row>
    <row r="63" spans="1:25" ht="24.95" customHeight="1" x14ac:dyDescent="0.2">
      <c r="B63" s="399"/>
      <c r="C63" s="400"/>
      <c r="D63" s="1049"/>
      <c r="E63" s="1050"/>
      <c r="F63" s="1051"/>
      <c r="G63" s="1066"/>
      <c r="H63" s="1067"/>
      <c r="I63" s="1068"/>
      <c r="J63" s="378">
        <f>IF(ISERROR(VLOOKUP(C63,BMP,2,FALSE)),0,VLOOKUP(C63,BMP,2,FALSE))</f>
        <v>0</v>
      </c>
      <c r="K63" s="625">
        <f>IF(ISERROR(K62-L62),0,K62-L62)</f>
        <v>0</v>
      </c>
      <c r="L63" s="625">
        <f>IF(ISERROR(K63*J63),0,K63*J63)</f>
        <v>0</v>
      </c>
      <c r="M63" s="401"/>
      <c r="N63" s="381" t="e">
        <f>IF(G59&gt;(D59+5),"Exceeds Available Volume!","")</f>
        <v>#DIV/0!</v>
      </c>
    </row>
    <row r="64" spans="1:25" ht="24.95" customHeight="1" x14ac:dyDescent="0.2">
      <c r="B64" s="1052" t="s">
        <v>371</v>
      </c>
      <c r="C64" s="1053"/>
      <c r="D64" s="1054">
        <f>IF(J63&gt;0,K63-L63,IF(J62&gt;0,K62-L62,IF(J61&gt;0,K61-L61,IF(J60&gt;0,K60-L60,K59-L59))))</f>
        <v>0</v>
      </c>
      <c r="E64" s="1055"/>
      <c r="F64" s="1055"/>
      <c r="G64" s="1055"/>
      <c r="H64" s="1055"/>
      <c r="I64" s="1055"/>
      <c r="J64" s="1055"/>
      <c r="K64" s="1055"/>
      <c r="L64" s="1055"/>
      <c r="M64" s="1056"/>
      <c r="N64" s="382"/>
    </row>
    <row r="65" spans="1:25" s="306" customFormat="1" ht="24.95" customHeight="1" x14ac:dyDescent="0.2">
      <c r="A65" s="164"/>
      <c r="B65" s="953" t="s">
        <v>372</v>
      </c>
      <c r="C65" s="954"/>
      <c r="D65" s="954"/>
      <c r="E65" s="954"/>
      <c r="F65" s="954"/>
      <c r="G65" s="954"/>
      <c r="H65" s="954"/>
      <c r="I65" s="954"/>
      <c r="J65" s="954"/>
      <c r="K65" s="954"/>
      <c r="L65" s="954"/>
      <c r="M65" s="955"/>
      <c r="N65" s="334"/>
      <c r="O65" s="164"/>
      <c r="P65" s="164"/>
      <c r="Q65" s="164"/>
      <c r="R65" s="164"/>
      <c r="S65" s="164"/>
      <c r="T65" s="164"/>
      <c r="U65" s="164"/>
      <c r="V65" s="164"/>
      <c r="W65" s="164"/>
      <c r="X65" s="164"/>
      <c r="Y65" s="164"/>
    </row>
    <row r="66" spans="1:25" s="507" customFormat="1" ht="39.950000000000003" customHeight="1" x14ac:dyDescent="0.2">
      <c r="B66" s="1019" t="s">
        <v>373</v>
      </c>
      <c r="C66" s="1020"/>
      <c r="D66" s="1057"/>
      <c r="E66" s="1058"/>
      <c r="F66" s="1058"/>
      <c r="G66" s="1058"/>
      <c r="H66" s="1058"/>
      <c r="I66" s="1058"/>
      <c r="J66" s="1058"/>
      <c r="K66" s="1058"/>
      <c r="L66" s="1058"/>
      <c r="M66" s="1059"/>
      <c r="N66" s="382"/>
    </row>
    <row r="67" spans="1:25" s="507" customFormat="1" ht="39.950000000000003" hidden="1" customHeight="1" x14ac:dyDescent="0.2">
      <c r="B67" s="1019" t="s">
        <v>501</v>
      </c>
      <c r="C67" s="1020"/>
      <c r="D67" s="1129"/>
      <c r="E67" s="1130"/>
      <c r="F67" s="1130"/>
      <c r="G67" s="1130"/>
      <c r="H67" s="1130"/>
      <c r="I67" s="1130"/>
      <c r="J67" s="1130"/>
      <c r="K67" s="1130"/>
      <c r="L67" s="1130"/>
      <c r="M67" s="1131"/>
      <c r="N67" s="382"/>
    </row>
    <row r="68" spans="1:25" s="507" customFormat="1" ht="79.5" customHeight="1" x14ac:dyDescent="0.2">
      <c r="B68" s="374" t="s">
        <v>318</v>
      </c>
      <c r="C68" s="375" t="s">
        <v>284</v>
      </c>
      <c r="D68" s="1034" t="s">
        <v>568</v>
      </c>
      <c r="E68" s="1034"/>
      <c r="F68" s="1034"/>
      <c r="G68" s="1034" t="s">
        <v>490</v>
      </c>
      <c r="H68" s="1034"/>
      <c r="I68" s="1034"/>
      <c r="J68" s="631" t="s">
        <v>269</v>
      </c>
      <c r="K68" s="631" t="s">
        <v>491</v>
      </c>
      <c r="L68" s="631" t="s">
        <v>492</v>
      </c>
      <c r="M68" s="376" t="s">
        <v>322</v>
      </c>
      <c r="N68" s="382"/>
    </row>
    <row r="69" spans="1:25" ht="24.95" customHeight="1" x14ac:dyDescent="0.2">
      <c r="B69" s="399"/>
      <c r="C69" s="400"/>
      <c r="D69" s="1043" t="e">
        <f>IF('SITE SUMMARY'!$G$35="High",E167,"-")</f>
        <v>#DIV/0!</v>
      </c>
      <c r="E69" s="1044"/>
      <c r="F69" s="1045"/>
      <c r="G69" s="1060"/>
      <c r="H69" s="1061"/>
      <c r="I69" s="1062"/>
      <c r="J69" s="378">
        <f>IF(ISERROR(VLOOKUP(C69,BMP,2,FALSE)),0,VLOOKUP(C69,BMP,2,FALSE))</f>
        <v>0</v>
      </c>
      <c r="K69" s="625">
        <f>IF(ISERROR($I$114),D66,$I$114+D66)</f>
        <v>0</v>
      </c>
      <c r="L69" s="625">
        <f>IF(ISERROR(K69*J69),0,K69*J69)</f>
        <v>0</v>
      </c>
      <c r="M69" s="401"/>
      <c r="N69" s="382"/>
      <c r="O69" s="379"/>
      <c r="P69" s="379"/>
      <c r="Q69" s="379"/>
      <c r="R69" s="379"/>
      <c r="S69" s="379"/>
      <c r="T69" s="379"/>
    </row>
    <row r="70" spans="1:25" ht="24.95" customHeight="1" x14ac:dyDescent="0.2">
      <c r="B70" s="399"/>
      <c r="C70" s="400"/>
      <c r="D70" s="1046"/>
      <c r="E70" s="1047"/>
      <c r="F70" s="1048"/>
      <c r="G70" s="1063"/>
      <c r="H70" s="1064"/>
      <c r="I70" s="1065"/>
      <c r="J70" s="378">
        <f>IF(ISERROR(VLOOKUP(C70,BMP,2,FALSE)),0,VLOOKUP(C70,BMP,2,FALSE))</f>
        <v>0</v>
      </c>
      <c r="K70" s="625">
        <f>IF(ISERROR(K69-L69),0,K69-L69)</f>
        <v>0</v>
      </c>
      <c r="L70" s="625">
        <f>IF(ISERROR(K70*J70),0,K70*J70)</f>
        <v>0</v>
      </c>
      <c r="M70" s="401"/>
      <c r="N70" s="382"/>
    </row>
    <row r="71" spans="1:25" ht="24.95" customHeight="1" x14ac:dyDescent="0.2">
      <c r="B71" s="399"/>
      <c r="C71" s="400"/>
      <c r="D71" s="1046"/>
      <c r="E71" s="1047"/>
      <c r="F71" s="1048"/>
      <c r="G71" s="1063"/>
      <c r="H71" s="1064"/>
      <c r="I71" s="1065"/>
      <c r="J71" s="378">
        <f>IF(ISERROR(VLOOKUP(C71,BMP,2,FALSE)),0,VLOOKUP(C71,BMP,2,FALSE))</f>
        <v>0</v>
      </c>
      <c r="K71" s="625">
        <f>IF(ISERROR(K70-L70),0,K70-L70)</f>
        <v>0</v>
      </c>
      <c r="L71" s="625">
        <f>IF(ISERROR(K71*J71),0,K71*J71)</f>
        <v>0</v>
      </c>
      <c r="M71" s="401"/>
      <c r="N71" s="382"/>
    </row>
    <row r="72" spans="1:25" ht="24.95" customHeight="1" x14ac:dyDescent="0.2">
      <c r="B72" s="399"/>
      <c r="C72" s="400"/>
      <c r="D72" s="1046"/>
      <c r="E72" s="1047"/>
      <c r="F72" s="1048"/>
      <c r="G72" s="1063"/>
      <c r="H72" s="1064"/>
      <c r="I72" s="1065"/>
      <c r="J72" s="378">
        <f>IF(ISERROR(VLOOKUP(C72,BMP,2,FALSE)),0,VLOOKUP(C72,BMP,2,FALSE))</f>
        <v>0</v>
      </c>
      <c r="K72" s="625">
        <f>IF(ISERROR(K71-L71),0,K71-L71)</f>
        <v>0</v>
      </c>
      <c r="L72" s="625">
        <f>IF(ISERROR(K72*J72),0,K72*J72)</f>
        <v>0</v>
      </c>
      <c r="M72" s="401"/>
      <c r="N72" s="382"/>
    </row>
    <row r="73" spans="1:25" ht="24.95" customHeight="1" x14ac:dyDescent="0.2">
      <c r="B73" s="399"/>
      <c r="C73" s="400"/>
      <c r="D73" s="1049"/>
      <c r="E73" s="1050"/>
      <c r="F73" s="1051"/>
      <c r="G73" s="1066"/>
      <c r="H73" s="1067"/>
      <c r="I73" s="1068"/>
      <c r="J73" s="378">
        <f>IF(ISERROR(VLOOKUP(C73,BMP,2,FALSE)),0,VLOOKUP(C73,BMP,2,FALSE))</f>
        <v>0</v>
      </c>
      <c r="K73" s="625">
        <f>IF(ISERROR(K72-L72),0,K72-L72)</f>
        <v>0</v>
      </c>
      <c r="L73" s="625">
        <f>IF(ISERROR(K73*J73),0,K73*J73)</f>
        <v>0</v>
      </c>
      <c r="M73" s="401"/>
      <c r="N73" s="381" t="e">
        <f>IF(G69&gt;(D69+5),"Exceeds Available Volume!","")</f>
        <v>#DIV/0!</v>
      </c>
    </row>
    <row r="74" spans="1:25" ht="24.95" customHeight="1" x14ac:dyDescent="0.2">
      <c r="B74" s="1052" t="s">
        <v>371</v>
      </c>
      <c r="C74" s="1053"/>
      <c r="D74" s="1054">
        <f>IF(J73&gt;0,K73-L73,IF(J72&gt;0,K72-L72,IF(J71&gt;0,K71-L71,IF(J70&gt;0,K70-L70,K69-L69))))</f>
        <v>0</v>
      </c>
      <c r="E74" s="1055"/>
      <c r="F74" s="1055"/>
      <c r="G74" s="1055"/>
      <c r="H74" s="1055"/>
      <c r="I74" s="1055"/>
      <c r="J74" s="1055"/>
      <c r="K74" s="1055"/>
      <c r="L74" s="1055"/>
      <c r="M74" s="1056"/>
      <c r="N74" s="382"/>
    </row>
    <row r="75" spans="1:25" ht="24.95" customHeight="1" x14ac:dyDescent="0.2">
      <c r="B75" s="1116" t="s">
        <v>720</v>
      </c>
      <c r="C75" s="1117"/>
      <c r="D75" s="1117"/>
      <c r="E75" s="1117"/>
      <c r="F75" s="1117"/>
      <c r="G75" s="1117"/>
      <c r="H75" s="1117"/>
      <c r="I75" s="1117"/>
      <c r="J75" s="1117"/>
      <c r="K75" s="1117"/>
      <c r="L75" s="1117"/>
      <c r="M75" s="1118"/>
      <c r="N75" s="1132" t="s">
        <v>422</v>
      </c>
    </row>
    <row r="76" spans="1:25" ht="24.95" customHeight="1" x14ac:dyDescent="0.2">
      <c r="B76" s="1110" t="s">
        <v>493</v>
      </c>
      <c r="C76" s="1111"/>
      <c r="D76" s="1112">
        <f>G29+G39+G49+G59+G69</f>
        <v>0</v>
      </c>
      <c r="E76" s="1113"/>
      <c r="F76" s="1113"/>
      <c r="G76" s="1113"/>
      <c r="H76" s="1113"/>
      <c r="I76" s="1113"/>
      <c r="J76" s="1113"/>
      <c r="K76" s="1113"/>
      <c r="L76" s="1113"/>
      <c r="M76" s="1114"/>
      <c r="N76" s="1132"/>
    </row>
    <row r="77" spans="1:25" ht="24.95" customHeight="1" x14ac:dyDescent="0.2">
      <c r="B77" s="1069" t="s">
        <v>338</v>
      </c>
      <c r="C77" s="884"/>
      <c r="D77" s="1070">
        <f>SUM(L29:L33,L39:L43,L49:L53,L59:L63,L69:L73)</f>
        <v>0</v>
      </c>
      <c r="E77" s="1070"/>
      <c r="F77" s="1070"/>
      <c r="G77" s="1070"/>
      <c r="H77" s="1070"/>
      <c r="I77" s="1070"/>
      <c r="J77" s="1070"/>
      <c r="K77" s="1070"/>
      <c r="L77" s="1070"/>
      <c r="M77" s="1071"/>
      <c r="N77" s="1132"/>
    </row>
    <row r="78" spans="1:25" ht="24.95" customHeight="1" x14ac:dyDescent="0.2">
      <c r="B78" s="1099" t="s">
        <v>337</v>
      </c>
      <c r="C78" s="1100"/>
      <c r="D78" s="1100"/>
      <c r="E78" s="1100"/>
      <c r="F78" s="1100"/>
      <c r="G78" s="1100"/>
      <c r="H78" s="1100"/>
      <c r="I78" s="1100"/>
      <c r="J78" s="1100"/>
      <c r="K78" s="1100"/>
      <c r="L78" s="1100"/>
      <c r="M78" s="1101"/>
      <c r="N78" s="1132"/>
    </row>
    <row r="79" spans="1:25" ht="24.95" customHeight="1" x14ac:dyDescent="0.2">
      <c r="B79" s="883" t="s">
        <v>465</v>
      </c>
      <c r="C79" s="884"/>
      <c r="D79" s="1072">
        <f>IF(('DA10'!H83-D76)&lt;0,0,'DA10'!H83-D76)</f>
        <v>0</v>
      </c>
      <c r="E79" s="1072"/>
      <c r="F79" s="1072"/>
      <c r="G79" s="1072"/>
      <c r="H79" s="1072"/>
      <c r="I79" s="1072"/>
      <c r="J79" s="1072"/>
      <c r="K79" s="1072"/>
      <c r="L79" s="1072"/>
      <c r="M79" s="1073"/>
      <c r="N79" s="1132"/>
    </row>
    <row r="80" spans="1:25" ht="24.95" customHeight="1" x14ac:dyDescent="0.2">
      <c r="B80" s="1069" t="s">
        <v>413</v>
      </c>
      <c r="C80" s="884"/>
      <c r="D80" s="1074" t="e">
        <f>((((D79)/(C9*43560)))*12)</f>
        <v>#DIV/0!</v>
      </c>
      <c r="E80" s="1074"/>
      <c r="F80" s="1074"/>
      <c r="G80" s="1074"/>
      <c r="H80" s="1074"/>
      <c r="I80" s="1074"/>
      <c r="J80" s="1074"/>
      <c r="K80" s="1074"/>
      <c r="L80" s="1074"/>
      <c r="M80" s="1075"/>
      <c r="N80" s="1132"/>
    </row>
    <row r="81" spans="1:14" ht="24.95" customHeight="1" x14ac:dyDescent="0.2">
      <c r="B81" s="1069" t="s">
        <v>409</v>
      </c>
      <c r="C81" s="884"/>
      <c r="D81" s="1076">
        <f>IF(ISERROR(VLOOKUP($D$80,CN,2,TRUE)),0,VLOOKUP($D$80,CN,2,TRUE))</f>
        <v>0</v>
      </c>
      <c r="E81" s="1076"/>
      <c r="F81" s="1076"/>
      <c r="G81" s="1076"/>
      <c r="H81" s="1076"/>
      <c r="I81" s="1076"/>
      <c r="J81" s="1076"/>
      <c r="K81" s="1076"/>
      <c r="L81" s="1076"/>
      <c r="M81" s="1077"/>
      <c r="N81" s="1132"/>
    </row>
    <row r="82" spans="1:14" ht="33.75" customHeight="1" x14ac:dyDescent="0.2">
      <c r="B82" s="1069" t="s">
        <v>353</v>
      </c>
      <c r="C82" s="884"/>
      <c r="D82" s="1102"/>
      <c r="E82" s="1103"/>
      <c r="F82" s="1103"/>
      <c r="G82" s="1103"/>
      <c r="H82" s="1103"/>
      <c r="I82" s="1103"/>
      <c r="J82" s="1103"/>
      <c r="K82" s="1103"/>
      <c r="L82" s="1103"/>
      <c r="M82" s="1104"/>
      <c r="N82" s="1132"/>
    </row>
    <row r="83" spans="1:14" ht="24.95" customHeight="1" x14ac:dyDescent="0.2">
      <c r="B83" s="1099" t="s">
        <v>374</v>
      </c>
      <c r="C83" s="1100"/>
      <c r="D83" s="1100"/>
      <c r="E83" s="1100"/>
      <c r="F83" s="1100"/>
      <c r="G83" s="1100"/>
      <c r="H83" s="1100"/>
      <c r="I83" s="1100"/>
      <c r="J83" s="1100"/>
      <c r="K83" s="1100"/>
      <c r="L83" s="1100"/>
      <c r="M83" s="1101"/>
      <c r="N83" s="1132"/>
    </row>
    <row r="84" spans="1:14" ht="24.95" customHeight="1" x14ac:dyDescent="0.2">
      <c r="B84" s="883" t="s">
        <v>416</v>
      </c>
      <c r="C84" s="884"/>
      <c r="D84" s="1072" t="e">
        <f>IF(('DA10'!H88-D76)&lt;0,0,'DA10'!H88-D76)</f>
        <v>#DIV/0!</v>
      </c>
      <c r="E84" s="1072"/>
      <c r="F84" s="1072"/>
      <c r="G84" s="1072"/>
      <c r="H84" s="1072"/>
      <c r="I84" s="1072"/>
      <c r="J84" s="1072"/>
      <c r="K84" s="1072"/>
      <c r="L84" s="1072"/>
      <c r="M84" s="1073"/>
      <c r="N84" s="1132"/>
    </row>
    <row r="85" spans="1:14" ht="24.95" customHeight="1" x14ac:dyDescent="0.2">
      <c r="B85" s="1105" t="s">
        <v>411</v>
      </c>
      <c r="C85" s="1106"/>
      <c r="D85" s="1074" t="e">
        <f>((D84/(C9*43560)))*12</f>
        <v>#DIV/0!</v>
      </c>
      <c r="E85" s="1074"/>
      <c r="F85" s="1074"/>
      <c r="G85" s="1074"/>
      <c r="H85" s="1074"/>
      <c r="I85" s="1074"/>
      <c r="J85" s="1074"/>
      <c r="K85" s="1074"/>
      <c r="L85" s="1074"/>
      <c r="M85" s="1075"/>
      <c r="N85" s="1132"/>
    </row>
    <row r="86" spans="1:14" ht="24.95" customHeight="1" x14ac:dyDescent="0.2">
      <c r="B86" s="1069" t="s">
        <v>431</v>
      </c>
      <c r="C86" s="884"/>
      <c r="D86" s="1076">
        <f>IF(ISERROR(VLOOKUP(D85,CN2YR,2,TRUE)),0,VLOOKUP(D85,CN2YR,2,TRUE))</f>
        <v>0</v>
      </c>
      <c r="E86" s="1076"/>
      <c r="F86" s="1076"/>
      <c r="G86" s="1076"/>
      <c r="H86" s="1076"/>
      <c r="I86" s="1076"/>
      <c r="J86" s="1076"/>
      <c r="K86" s="1076"/>
      <c r="L86" s="1076"/>
      <c r="M86" s="1077"/>
      <c r="N86" s="1132"/>
    </row>
    <row r="87" spans="1:14" ht="33.75" customHeight="1" x14ac:dyDescent="0.2">
      <c r="B87" s="1069" t="s">
        <v>410</v>
      </c>
      <c r="C87" s="884"/>
      <c r="D87" s="1102"/>
      <c r="E87" s="1103"/>
      <c r="F87" s="1103"/>
      <c r="G87" s="1103"/>
      <c r="H87" s="1103"/>
      <c r="I87" s="1103"/>
      <c r="J87" s="1103"/>
      <c r="K87" s="1103"/>
      <c r="L87" s="1103"/>
      <c r="M87" s="1104"/>
      <c r="N87" s="1132"/>
    </row>
    <row r="88" spans="1:14" ht="24.95" customHeight="1" x14ac:dyDescent="0.2">
      <c r="B88" s="1099" t="s">
        <v>376</v>
      </c>
      <c r="C88" s="1100"/>
      <c r="D88" s="1100"/>
      <c r="E88" s="1100"/>
      <c r="F88" s="1100"/>
      <c r="G88" s="1100"/>
      <c r="H88" s="1100"/>
      <c r="I88" s="1100"/>
      <c r="J88" s="1100"/>
      <c r="K88" s="1100"/>
      <c r="L88" s="1100"/>
      <c r="M88" s="1101"/>
      <c r="N88" s="1132"/>
    </row>
    <row r="89" spans="1:14" s="169" customFormat="1" ht="24.95" hidden="1" customHeight="1" x14ac:dyDescent="0.2">
      <c r="A89" s="216"/>
      <c r="B89" s="1097" t="s">
        <v>417</v>
      </c>
      <c r="C89" s="1098"/>
      <c r="D89" s="1078" t="e">
        <f>('DA10'!H91/12)*('DA10'!H10*43560)</f>
        <v>#DIV/0!</v>
      </c>
      <c r="E89" s="1079"/>
      <c r="F89" s="1079"/>
      <c r="G89" s="1079"/>
      <c r="H89" s="1079"/>
      <c r="I89" s="1079"/>
      <c r="J89" s="1079"/>
      <c r="K89" s="1079"/>
      <c r="L89" s="1079"/>
      <c r="M89" s="1080"/>
      <c r="N89" s="1132"/>
    </row>
    <row r="90" spans="1:14" ht="24.95" customHeight="1" x14ac:dyDescent="0.2">
      <c r="B90" s="883" t="s">
        <v>466</v>
      </c>
      <c r="C90" s="884"/>
      <c r="D90" s="1072" t="e">
        <f>IF(('DA10'!H92-D76)&lt;0,0,'DA10'!H92-D76)</f>
        <v>#DIV/0!</v>
      </c>
      <c r="E90" s="1072"/>
      <c r="F90" s="1072"/>
      <c r="G90" s="1072"/>
      <c r="H90" s="1072"/>
      <c r="I90" s="1072"/>
      <c r="J90" s="1072"/>
      <c r="K90" s="1072"/>
      <c r="L90" s="1072"/>
      <c r="M90" s="1073"/>
      <c r="N90" s="1132"/>
    </row>
    <row r="91" spans="1:14" ht="24.95" customHeight="1" x14ac:dyDescent="0.2">
      <c r="B91" s="1069" t="s">
        <v>432</v>
      </c>
      <c r="C91" s="884"/>
      <c r="D91" s="1074" t="e">
        <f>((D90/(C9*43560)))*12</f>
        <v>#DIV/0!</v>
      </c>
      <c r="E91" s="1074"/>
      <c r="F91" s="1074"/>
      <c r="G91" s="1074"/>
      <c r="H91" s="1074"/>
      <c r="I91" s="1074"/>
      <c r="J91" s="1074"/>
      <c r="K91" s="1074"/>
      <c r="L91" s="1074"/>
      <c r="M91" s="1075"/>
      <c r="N91" s="1132"/>
    </row>
    <row r="92" spans="1:14" ht="24.95" customHeight="1" x14ac:dyDescent="0.2">
      <c r="B92" s="1105" t="s">
        <v>433</v>
      </c>
      <c r="C92" s="1106"/>
      <c r="D92" s="1076">
        <f>IF(ISERROR(VLOOKUP(D91,CN2YR,2,TRUE)),0,VLOOKUP(D91,CN2YR,2,TRUE))</f>
        <v>0</v>
      </c>
      <c r="E92" s="1076"/>
      <c r="F92" s="1076"/>
      <c r="G92" s="1076"/>
      <c r="H92" s="1076"/>
      <c r="I92" s="1076"/>
      <c r="J92" s="1076"/>
      <c r="K92" s="1076"/>
      <c r="L92" s="1076"/>
      <c r="M92" s="1077"/>
      <c r="N92" s="1132"/>
    </row>
    <row r="93" spans="1:14" ht="33.75" customHeight="1" thickBot="1" x14ac:dyDescent="0.25">
      <c r="B93" s="1021" t="s">
        <v>412</v>
      </c>
      <c r="C93" s="1022"/>
      <c r="D93" s="1023"/>
      <c r="E93" s="1024"/>
      <c r="F93" s="1024"/>
      <c r="G93" s="1024"/>
      <c r="H93" s="1024"/>
      <c r="I93" s="1024"/>
      <c r="J93" s="1024"/>
      <c r="K93" s="1024"/>
      <c r="L93" s="1024"/>
      <c r="M93" s="1025"/>
      <c r="N93" s="1132"/>
    </row>
    <row r="94" spans="1:14" s="507" customFormat="1" x14ac:dyDescent="0.2">
      <c r="K94" s="573"/>
    </row>
    <row r="95" spans="1:14" s="507" customFormat="1" hidden="1" x14ac:dyDescent="0.2">
      <c r="K95" s="573"/>
    </row>
    <row r="96" spans="1:14" s="507" customFormat="1" hidden="1" x14ac:dyDescent="0.2">
      <c r="K96" s="573"/>
    </row>
    <row r="97" spans="1:25" s="507" customFormat="1" hidden="1" x14ac:dyDescent="0.2">
      <c r="K97" s="573"/>
    </row>
    <row r="98" spans="1:25" s="507" customFormat="1" hidden="1" x14ac:dyDescent="0.2">
      <c r="K98" s="573"/>
      <c r="N98" s="344"/>
    </row>
    <row r="99" spans="1:25" s="383" customFormat="1" ht="15.75" hidden="1" x14ac:dyDescent="0.25">
      <c r="A99" s="508"/>
      <c r="B99" s="313" t="s">
        <v>126</v>
      </c>
      <c r="K99" s="449"/>
    </row>
    <row r="100" spans="1:25" hidden="1" x14ac:dyDescent="0.2">
      <c r="B100" s="507"/>
      <c r="C100" s="507"/>
      <c r="D100" s="507"/>
      <c r="E100" s="507"/>
      <c r="F100" s="507"/>
      <c r="G100" s="507"/>
      <c r="H100" s="507"/>
      <c r="I100" s="507"/>
      <c r="J100" s="507"/>
      <c r="K100" s="573"/>
      <c r="L100" s="507"/>
      <c r="M100" s="507"/>
      <c r="N100" s="347"/>
    </row>
    <row r="101" spans="1:25" hidden="1" x14ac:dyDescent="0.2">
      <c r="B101" s="507"/>
      <c r="C101" s="507"/>
      <c r="D101" s="507"/>
      <c r="E101" s="507"/>
      <c r="F101" s="507"/>
      <c r="G101" s="507"/>
      <c r="H101" s="507"/>
      <c r="I101" s="507"/>
      <c r="J101" s="507"/>
      <c r="K101" s="573"/>
      <c r="L101" s="507"/>
      <c r="M101" s="507"/>
      <c r="N101" s="347"/>
    </row>
    <row r="102" spans="1:25" ht="18" hidden="1" x14ac:dyDescent="0.25">
      <c r="B102" s="384" t="s">
        <v>276</v>
      </c>
      <c r="C102" s="384"/>
      <c r="D102" s="384"/>
      <c r="E102" s="384"/>
      <c r="F102" s="384"/>
      <c r="G102" s="384"/>
      <c r="H102" s="384"/>
      <c r="I102" s="384"/>
      <c r="J102" s="384"/>
      <c r="K102" s="384"/>
      <c r="L102" s="384"/>
      <c r="M102" s="384"/>
      <c r="N102" s="347"/>
    </row>
    <row r="103" spans="1:25" hidden="1" x14ac:dyDescent="0.2">
      <c r="B103" s="507"/>
      <c r="C103" s="507"/>
      <c r="D103" s="507"/>
      <c r="E103" s="507"/>
      <c r="F103" s="507"/>
      <c r="G103" s="507"/>
      <c r="H103" s="507"/>
      <c r="I103" s="507"/>
      <c r="J103" s="507"/>
      <c r="K103" s="573"/>
      <c r="L103" s="507"/>
      <c r="M103" s="507"/>
      <c r="N103" s="347"/>
    </row>
    <row r="104" spans="1:25" ht="47.25" hidden="1" x14ac:dyDescent="0.2">
      <c r="B104" s="385" t="s">
        <v>273</v>
      </c>
      <c r="C104" s="386"/>
      <c r="D104" s="579" t="s">
        <v>553</v>
      </c>
      <c r="E104" s="580" t="s">
        <v>721</v>
      </c>
      <c r="F104" s="580" t="s">
        <v>722</v>
      </c>
      <c r="G104" s="580" t="s">
        <v>723</v>
      </c>
      <c r="H104" s="591" t="s">
        <v>724</v>
      </c>
      <c r="I104" s="591" t="s">
        <v>725</v>
      </c>
      <c r="J104" s="507"/>
      <c r="K104" s="507"/>
      <c r="L104" s="609"/>
      <c r="M104" s="507"/>
      <c r="N104" s="507"/>
      <c r="X104" s="161"/>
      <c r="Y104" s="161"/>
    </row>
    <row r="105" spans="1:25" hidden="1" x14ac:dyDescent="0.2">
      <c r="B105" s="592" t="s">
        <v>12</v>
      </c>
      <c r="C105" s="387"/>
      <c r="D105" s="578">
        <v>1.2</v>
      </c>
      <c r="E105" s="388">
        <f>(SUM(D17:E17))*$D$105</f>
        <v>0</v>
      </c>
      <c r="F105" s="388">
        <f t="shared" ref="F105:F112" si="1">(SUM(F17:G17))*D105</f>
        <v>0</v>
      </c>
      <c r="G105" s="388">
        <f t="shared" ref="G105:G112" si="2">(SUM(H17:I17))*D105</f>
        <v>0</v>
      </c>
      <c r="H105" s="388">
        <f t="shared" ref="H105:H112" si="3">(SUM(J17:K17))*D105</f>
        <v>0</v>
      </c>
      <c r="I105" s="388">
        <f t="shared" ref="I105:I112" si="4">(SUM(L17:M17))*D105</f>
        <v>0</v>
      </c>
      <c r="J105" s="507"/>
      <c r="K105" s="507"/>
      <c r="L105" s="611" t="s">
        <v>515</v>
      </c>
      <c r="M105" s="507"/>
      <c r="N105" s="507"/>
      <c r="X105" s="161"/>
      <c r="Y105" s="161"/>
    </row>
    <row r="106" spans="1:25" hidden="1" x14ac:dyDescent="0.2">
      <c r="B106" s="592" t="s">
        <v>253</v>
      </c>
      <c r="C106" s="387"/>
      <c r="D106" s="578">
        <v>1.6</v>
      </c>
      <c r="E106" s="388">
        <f>(SUM(D18:E18))*$D$106</f>
        <v>0</v>
      </c>
      <c r="F106" s="388">
        <f t="shared" si="1"/>
        <v>0</v>
      </c>
      <c r="G106" s="388">
        <f t="shared" si="2"/>
        <v>0</v>
      </c>
      <c r="H106" s="388">
        <f t="shared" si="3"/>
        <v>0</v>
      </c>
      <c r="I106" s="388">
        <f t="shared" si="4"/>
        <v>0</v>
      </c>
      <c r="J106" s="507"/>
      <c r="K106" s="507"/>
      <c r="L106" s="610" t="s">
        <v>516</v>
      </c>
      <c r="M106" s="507"/>
      <c r="N106" s="507"/>
      <c r="X106" s="161"/>
      <c r="Y106" s="161"/>
    </row>
    <row r="107" spans="1:25" hidden="1" x14ac:dyDescent="0.2">
      <c r="B107" s="592" t="s">
        <v>258</v>
      </c>
      <c r="C107" s="387"/>
      <c r="D107" s="578">
        <v>1.2</v>
      </c>
      <c r="E107" s="388">
        <f>(SUM(D19:E19))*$D$107</f>
        <v>0</v>
      </c>
      <c r="F107" s="388">
        <f t="shared" si="1"/>
        <v>0</v>
      </c>
      <c r="G107" s="388">
        <f t="shared" si="2"/>
        <v>0</v>
      </c>
      <c r="H107" s="388">
        <f t="shared" si="3"/>
        <v>0</v>
      </c>
      <c r="I107" s="388">
        <f t="shared" si="4"/>
        <v>0</v>
      </c>
      <c r="J107" s="507"/>
      <c r="K107" s="507"/>
      <c r="L107" s="610"/>
      <c r="M107" s="507"/>
      <c r="N107" s="507"/>
      <c r="X107" s="161"/>
      <c r="Y107" s="161"/>
    </row>
    <row r="108" spans="1:25" hidden="1" x14ac:dyDescent="0.2">
      <c r="B108" s="592" t="s">
        <v>254</v>
      </c>
      <c r="C108" s="387"/>
      <c r="D108" s="578">
        <v>0.8</v>
      </c>
      <c r="E108" s="388">
        <f>(SUM(D20:E20))*$D$108</f>
        <v>0</v>
      </c>
      <c r="F108" s="388">
        <f t="shared" si="1"/>
        <v>0</v>
      </c>
      <c r="G108" s="388">
        <f t="shared" si="2"/>
        <v>0</v>
      </c>
      <c r="H108" s="388">
        <f t="shared" si="3"/>
        <v>0</v>
      </c>
      <c r="I108" s="388">
        <f t="shared" si="4"/>
        <v>0</v>
      </c>
      <c r="J108" s="507"/>
      <c r="K108" s="507"/>
      <c r="L108" s="523"/>
      <c r="M108" s="507"/>
      <c r="N108" s="507"/>
      <c r="X108" s="161"/>
      <c r="Y108" s="161"/>
    </row>
    <row r="109" spans="1:25" hidden="1" x14ac:dyDescent="0.2">
      <c r="B109" s="592" t="s">
        <v>255</v>
      </c>
      <c r="C109" s="387"/>
      <c r="D109" s="389">
        <v>1</v>
      </c>
      <c r="E109" s="388">
        <f>(SUM(D21:E21))*$D$109</f>
        <v>0</v>
      </c>
      <c r="F109" s="388">
        <f t="shared" si="1"/>
        <v>0</v>
      </c>
      <c r="G109" s="388">
        <f t="shared" si="2"/>
        <v>0</v>
      </c>
      <c r="H109" s="388">
        <f t="shared" si="3"/>
        <v>0</v>
      </c>
      <c r="I109" s="388">
        <f t="shared" si="4"/>
        <v>0</v>
      </c>
      <c r="J109" s="507"/>
      <c r="K109" s="507"/>
      <c r="L109" s="523"/>
      <c r="M109" s="507"/>
      <c r="N109" s="507"/>
      <c r="X109" s="161"/>
      <c r="Y109" s="161"/>
    </row>
    <row r="110" spans="1:25" hidden="1" x14ac:dyDescent="0.2">
      <c r="B110" s="592" t="s">
        <v>256</v>
      </c>
      <c r="C110" s="387"/>
      <c r="D110" s="578">
        <v>0.8</v>
      </c>
      <c r="E110" s="388">
        <f>(SUM(D22:E22))*$D$110</f>
        <v>0</v>
      </c>
      <c r="F110" s="388">
        <f t="shared" si="1"/>
        <v>0</v>
      </c>
      <c r="G110" s="388">
        <f t="shared" si="2"/>
        <v>0</v>
      </c>
      <c r="H110" s="388">
        <f t="shared" si="3"/>
        <v>0</v>
      </c>
      <c r="I110" s="388">
        <f t="shared" si="4"/>
        <v>0</v>
      </c>
      <c r="J110" s="507"/>
      <c r="K110" s="507"/>
      <c r="L110" s="523"/>
      <c r="M110" s="507"/>
      <c r="N110" s="507"/>
      <c r="X110" s="161"/>
      <c r="Y110" s="161"/>
    </row>
    <row r="111" spans="1:25" hidden="1" x14ac:dyDescent="0.2">
      <c r="B111" s="592" t="s">
        <v>257</v>
      </c>
      <c r="C111" s="387"/>
      <c r="D111" s="578">
        <v>0.6</v>
      </c>
      <c r="E111" s="388">
        <f>(SUM(D23:E23))*$D$111</f>
        <v>0</v>
      </c>
      <c r="F111" s="388">
        <f t="shared" si="1"/>
        <v>0</v>
      </c>
      <c r="G111" s="388">
        <f t="shared" si="2"/>
        <v>0</v>
      </c>
      <c r="H111" s="388">
        <f t="shared" si="3"/>
        <v>0</v>
      </c>
      <c r="I111" s="388">
        <f t="shared" si="4"/>
        <v>0</v>
      </c>
      <c r="J111" s="507"/>
      <c r="K111" s="507"/>
      <c r="L111" s="523"/>
      <c r="M111" s="507"/>
      <c r="N111" s="507"/>
      <c r="X111" s="161"/>
      <c r="Y111" s="161"/>
    </row>
    <row r="112" spans="1:25" hidden="1" x14ac:dyDescent="0.2">
      <c r="B112" s="592" t="s">
        <v>245</v>
      </c>
      <c r="C112" s="387"/>
      <c r="D112" s="578">
        <v>0.6</v>
      </c>
      <c r="E112" s="388">
        <f>(SUM(D24:E24))*$D$112</f>
        <v>0</v>
      </c>
      <c r="F112" s="388">
        <f t="shared" si="1"/>
        <v>0</v>
      </c>
      <c r="G112" s="388">
        <f t="shared" si="2"/>
        <v>0</v>
      </c>
      <c r="H112" s="388">
        <f t="shared" si="3"/>
        <v>0</v>
      </c>
      <c r="I112" s="388">
        <f t="shared" si="4"/>
        <v>0</v>
      </c>
      <c r="J112" s="507"/>
      <c r="K112" s="507"/>
      <c r="L112" s="523"/>
      <c r="M112" s="507"/>
      <c r="N112" s="507"/>
      <c r="X112" s="161"/>
      <c r="Y112" s="161"/>
    </row>
    <row r="113" spans="2:25" ht="15.75" hidden="1" thickBot="1" x14ac:dyDescent="0.25">
      <c r="B113" s="592" t="s">
        <v>44</v>
      </c>
      <c r="C113" s="387"/>
      <c r="D113" s="578">
        <v>21.2</v>
      </c>
      <c r="E113" s="388">
        <f>SUM(D25:E25)*$D$113</f>
        <v>0</v>
      </c>
      <c r="F113" s="388">
        <f>SUM(F25:G25)*D113</f>
        <v>0</v>
      </c>
      <c r="G113" s="388">
        <f>SUM(H25:I25)*D113</f>
        <v>0</v>
      </c>
      <c r="H113" s="388">
        <f>SUM(J25:K25)*D113</f>
        <v>0</v>
      </c>
      <c r="I113" s="388">
        <f>SUM(L25:M25)*D113</f>
        <v>0</v>
      </c>
      <c r="J113" s="507"/>
      <c r="K113" s="507"/>
      <c r="L113" s="523"/>
      <c r="M113" s="507"/>
      <c r="N113" s="507"/>
      <c r="X113" s="161"/>
      <c r="Y113" s="161"/>
    </row>
    <row r="114" spans="2:25" ht="15.75" hidden="1" thickBot="1" x14ac:dyDescent="0.25">
      <c r="B114" s="507"/>
      <c r="C114" s="507"/>
      <c r="D114" s="390" t="s">
        <v>283</v>
      </c>
      <c r="E114" s="558">
        <f>SUM(E105:E113)</f>
        <v>0</v>
      </c>
      <c r="F114" s="558">
        <f t="shared" ref="F114:I114" si="5">SUM(F105:F113)</f>
        <v>0</v>
      </c>
      <c r="G114" s="558">
        <f t="shared" si="5"/>
        <v>0</v>
      </c>
      <c r="H114" s="558">
        <f t="shared" si="5"/>
        <v>0</v>
      </c>
      <c r="I114" s="558">
        <f t="shared" si="5"/>
        <v>0</v>
      </c>
      <c r="J114" s="507"/>
      <c r="K114" s="507"/>
      <c r="L114" s="523"/>
      <c r="M114" s="507"/>
      <c r="N114" s="507"/>
      <c r="X114" s="161"/>
      <c r="Y114" s="161"/>
    </row>
    <row r="115" spans="2:25" hidden="1" x14ac:dyDescent="0.2">
      <c r="B115" s="507"/>
      <c r="C115" s="507"/>
      <c r="D115" s="507"/>
      <c r="E115" s="507"/>
      <c r="F115" s="507"/>
      <c r="G115" s="507"/>
      <c r="H115" s="507"/>
      <c r="I115" s="507"/>
      <c r="J115" s="507"/>
      <c r="K115" s="573"/>
      <c r="L115" s="507"/>
      <c r="M115" s="507"/>
      <c r="N115" s="523"/>
    </row>
    <row r="116" spans="2:25" hidden="1" x14ac:dyDescent="0.2">
      <c r="B116" s="507"/>
      <c r="C116" s="507"/>
      <c r="D116" s="507"/>
      <c r="E116" s="507"/>
      <c r="F116" s="507"/>
      <c r="G116" s="507"/>
      <c r="H116" s="507"/>
      <c r="I116" s="507"/>
      <c r="J116" s="507"/>
      <c r="K116" s="573"/>
      <c r="L116" s="507"/>
      <c r="M116" s="507"/>
      <c r="N116" s="507"/>
    </row>
    <row r="117" spans="2:25" hidden="1" x14ac:dyDescent="0.2">
      <c r="B117" s="507"/>
      <c r="C117" s="507"/>
      <c r="D117" s="507"/>
      <c r="E117" s="507"/>
      <c r="F117" s="507"/>
      <c r="G117" s="507"/>
      <c r="H117" s="507"/>
      <c r="I117" s="507"/>
      <c r="J117" s="507"/>
      <c r="K117" s="573"/>
      <c r="L117" s="507"/>
      <c r="M117" s="507"/>
      <c r="N117" s="507"/>
    </row>
    <row r="118" spans="2:25" hidden="1" x14ac:dyDescent="0.2">
      <c r="B118" s="507"/>
      <c r="C118" s="507"/>
      <c r="D118" s="507"/>
      <c r="E118" s="507"/>
      <c r="F118" s="507"/>
      <c r="G118" s="1096" t="s">
        <v>418</v>
      </c>
      <c r="H118" s="1096"/>
      <c r="I118" s="1096"/>
      <c r="J118" s="1096"/>
      <c r="K118" s="1096"/>
      <c r="L118" s="1096"/>
      <c r="M118" s="1096"/>
    </row>
    <row r="119" spans="2:25" ht="15.75" hidden="1" thickBot="1" x14ac:dyDescent="0.25">
      <c r="B119" s="507"/>
      <c r="C119" s="507"/>
      <c r="D119" s="507"/>
      <c r="E119" s="507"/>
      <c r="F119" s="507"/>
      <c r="G119" s="1096"/>
      <c r="H119" s="1096"/>
      <c r="I119" s="1096"/>
      <c r="J119" s="1096"/>
      <c r="K119" s="1096"/>
      <c r="L119" s="1096"/>
      <c r="M119" s="1096"/>
    </row>
    <row r="120" spans="2:25" ht="48" hidden="1" x14ac:dyDescent="0.2">
      <c r="B120" s="605" t="s">
        <v>215</v>
      </c>
      <c r="C120" s="606"/>
      <c r="D120" s="606"/>
      <c r="E120" s="607"/>
      <c r="F120" s="507"/>
      <c r="G120" s="586" t="s">
        <v>323</v>
      </c>
      <c r="H120" s="392" t="s">
        <v>419</v>
      </c>
      <c r="I120" s="288" t="s">
        <v>175</v>
      </c>
      <c r="J120" s="392" t="s">
        <v>420</v>
      </c>
      <c r="K120" s="288" t="s">
        <v>175</v>
      </c>
      <c r="L120" s="392" t="s">
        <v>421</v>
      </c>
      <c r="M120" s="288" t="s">
        <v>175</v>
      </c>
    </row>
    <row r="121" spans="2:25" hidden="1" x14ac:dyDescent="0.2">
      <c r="B121" s="599" t="s">
        <v>207</v>
      </c>
      <c r="C121" s="586" t="s">
        <v>217</v>
      </c>
      <c r="D121" s="898" t="s">
        <v>54</v>
      </c>
      <c r="E121" s="902"/>
      <c r="F121" s="507"/>
      <c r="G121" s="393">
        <f>(1000/I121)-10</f>
        <v>16.315789473684209</v>
      </c>
      <c r="H121" s="394">
        <f>('SITE DATA'!$F$26-(0.2*G121))^2/('SITE DATA'!$F$26+(0.8*G121))</f>
        <v>0.8157894736842104</v>
      </c>
      <c r="I121" s="395">
        <v>38</v>
      </c>
      <c r="J121" s="394">
        <f>('SITE DATA'!$F$27-(0.2*G121))^2/('SITE DATA'!$F$27+(0.8*G121))</f>
        <v>0.8157894736842104</v>
      </c>
      <c r="K121" s="395">
        <v>38</v>
      </c>
      <c r="L121" s="394">
        <f>('SITE DATA'!$F$28-(0.2*G121))^2/('SITE DATA'!$F$28+(0.8*G121))</f>
        <v>0.8157894736842104</v>
      </c>
      <c r="M121" s="395">
        <v>38</v>
      </c>
    </row>
    <row r="122" spans="2:25" hidden="1" x14ac:dyDescent="0.2">
      <c r="B122" s="600" t="s">
        <v>521</v>
      </c>
      <c r="C122" s="598">
        <v>0.35</v>
      </c>
      <c r="D122" s="1094">
        <v>0.85</v>
      </c>
      <c r="E122" s="1095"/>
      <c r="F122" s="507"/>
      <c r="G122" s="393">
        <f>(1000/I122)-10</f>
        <v>15.641025641025642</v>
      </c>
      <c r="H122" s="394">
        <f>('SITE DATA'!$F$26-(0.2*G122))^2/('SITE DATA'!$F$26+(0.8*G122))</f>
        <v>0.78205128205128227</v>
      </c>
      <c r="I122" s="395">
        <v>39</v>
      </c>
      <c r="J122" s="394">
        <f>('SITE DATA'!$F$27-(0.2*G122))^2/('SITE DATA'!$F$27+(0.8*G122))</f>
        <v>0.78205128205128227</v>
      </c>
      <c r="K122" s="395">
        <v>39</v>
      </c>
      <c r="L122" s="394">
        <f>('SITE DATA'!$F$28-(0.2*G122))^2/('SITE DATA'!$F$28+(0.8*G122))</f>
        <v>0.78205128205128227</v>
      </c>
      <c r="M122" s="395">
        <v>39</v>
      </c>
    </row>
    <row r="123" spans="2:25" hidden="1" x14ac:dyDescent="0.2">
      <c r="B123" s="600" t="s">
        <v>520</v>
      </c>
      <c r="C123" s="598">
        <v>0.4</v>
      </c>
      <c r="D123" s="1094">
        <v>0.85</v>
      </c>
      <c r="E123" s="1095"/>
      <c r="F123" s="507"/>
      <c r="G123" s="393">
        <f>(1000/I123)-10</f>
        <v>15</v>
      </c>
      <c r="H123" s="394">
        <f>('SITE DATA'!$F$26-(0.2*G123))^2/('SITE DATA'!$F$26+(0.8*G123))</f>
        <v>0.75</v>
      </c>
      <c r="I123" s="395">
        <v>40</v>
      </c>
      <c r="J123" s="394">
        <f>('SITE DATA'!$F$27-(0.2*G123))^2/('SITE DATA'!$F$27+(0.8*G123))</f>
        <v>0.75</v>
      </c>
      <c r="K123" s="395">
        <v>40</v>
      </c>
      <c r="L123" s="394">
        <f>('SITE DATA'!$F$28-(0.2*G123))^2/('SITE DATA'!$F$28+(0.8*G123))</f>
        <v>0.75</v>
      </c>
      <c r="M123" s="395">
        <v>40</v>
      </c>
    </row>
    <row r="124" spans="2:25" hidden="1" x14ac:dyDescent="0.2">
      <c r="B124" s="601" t="s">
        <v>208</v>
      </c>
      <c r="C124" s="598">
        <v>0.4</v>
      </c>
      <c r="D124" s="1094">
        <v>0.85</v>
      </c>
      <c r="E124" s="1095"/>
      <c r="F124" s="507"/>
      <c r="G124" s="393">
        <f>(1000/I124)-10</f>
        <v>14.390243902439025</v>
      </c>
      <c r="H124" s="394">
        <f>('SITE DATA'!$F$26-(0.2*G124))^2/('SITE DATA'!$F$26+(0.8*G124))</f>
        <v>0.71951219512195141</v>
      </c>
      <c r="I124" s="395">
        <v>41</v>
      </c>
      <c r="J124" s="394">
        <f>('SITE DATA'!$F$27-(0.2*G124))^2/('SITE DATA'!$F$27+(0.8*G124))</f>
        <v>0.71951219512195141</v>
      </c>
      <c r="K124" s="395">
        <v>41</v>
      </c>
      <c r="L124" s="394">
        <f>('SITE DATA'!$F$28-(0.2*G124))^2/('SITE DATA'!$F$28+(0.8*G124))</f>
        <v>0.71951219512195141</v>
      </c>
      <c r="M124" s="395">
        <v>41</v>
      </c>
    </row>
    <row r="125" spans="2:25" hidden="1" x14ac:dyDescent="0.2">
      <c r="B125" s="601" t="s">
        <v>51</v>
      </c>
      <c r="C125" s="598">
        <v>0.25</v>
      </c>
      <c r="D125" s="1094">
        <v>0.85</v>
      </c>
      <c r="E125" s="1095"/>
      <c r="F125" s="507"/>
      <c r="G125" s="393">
        <f>(1000/I125)-10</f>
        <v>13.80952380952381</v>
      </c>
      <c r="H125" s="394">
        <f>('SITE DATA'!$F$26-(0.2*G125))^2/('SITE DATA'!$F$26+(0.8*G125))</f>
        <v>0.69047619047619058</v>
      </c>
      <c r="I125" s="395">
        <v>42</v>
      </c>
      <c r="J125" s="394">
        <f>('SITE DATA'!$F$27-(0.2*G125))^2/('SITE DATA'!$F$27+(0.8*G125))</f>
        <v>0.69047619047619058</v>
      </c>
      <c r="K125" s="395">
        <v>42</v>
      </c>
      <c r="L125" s="394">
        <f>('SITE DATA'!$F$28-(0.2*G125))^2/('SITE DATA'!$F$28+(0.8*G125))</f>
        <v>0.69047619047619058</v>
      </c>
      <c r="M125" s="395">
        <v>42</v>
      </c>
    </row>
    <row r="126" spans="2:25" hidden="1" x14ac:dyDescent="0.2">
      <c r="B126" s="601" t="s">
        <v>209</v>
      </c>
      <c r="C126" s="598">
        <v>0.35</v>
      </c>
      <c r="D126" s="1094">
        <v>0.85</v>
      </c>
      <c r="E126" s="1095"/>
      <c r="F126" s="507"/>
      <c r="G126" s="393">
        <f t="shared" ref="G126:G181" si="6">(1000/I126)-10</f>
        <v>13.255813953488371</v>
      </c>
      <c r="H126" s="394">
        <f>('SITE DATA'!$F$26-(0.2*G126))^2/('SITE DATA'!$F$26+(0.8*G126))</f>
        <v>0.66279069767441856</v>
      </c>
      <c r="I126" s="395">
        <v>43</v>
      </c>
      <c r="J126" s="394">
        <f>('SITE DATA'!$F$27-(0.2*G126))^2/('SITE DATA'!$F$27+(0.8*G126))</f>
        <v>0.66279069767441856</v>
      </c>
      <c r="K126" s="395">
        <v>43</v>
      </c>
      <c r="L126" s="394">
        <f>('SITE DATA'!$F$28-(0.2*G126))^2/('SITE DATA'!$F$28+(0.8*G126))</f>
        <v>0.66279069767441856</v>
      </c>
      <c r="M126" s="395">
        <v>43</v>
      </c>
    </row>
    <row r="127" spans="2:25" hidden="1" x14ac:dyDescent="0.2">
      <c r="B127" s="601" t="s">
        <v>210</v>
      </c>
      <c r="C127" s="598">
        <v>0.2</v>
      </c>
      <c r="D127" s="1094">
        <v>0.35</v>
      </c>
      <c r="E127" s="1095"/>
      <c r="F127" s="507"/>
      <c r="G127" s="393">
        <f t="shared" si="6"/>
        <v>12.727272727272727</v>
      </c>
      <c r="H127" s="394">
        <f>('SITE DATA'!$F$26-(0.2*G127))^2/('SITE DATA'!$F$26+(0.8*G127))</f>
        <v>0.63636363636363635</v>
      </c>
      <c r="I127" s="395">
        <v>44</v>
      </c>
      <c r="J127" s="394">
        <f>('SITE DATA'!$F$27-(0.2*G127))^2/('SITE DATA'!$F$27+(0.8*G127))</f>
        <v>0.63636363636363635</v>
      </c>
      <c r="K127" s="395">
        <v>44</v>
      </c>
      <c r="L127" s="394">
        <f>('SITE DATA'!$F$28-(0.2*G127))^2/('SITE DATA'!$F$28+(0.8*G127))</f>
        <v>0.63636363636363635</v>
      </c>
      <c r="M127" s="395">
        <v>44</v>
      </c>
    </row>
    <row r="128" spans="2:25" hidden="1" x14ac:dyDescent="0.2">
      <c r="B128" s="601" t="s">
        <v>52</v>
      </c>
      <c r="C128" s="598">
        <v>0.2</v>
      </c>
      <c r="D128" s="1094">
        <v>0.35</v>
      </c>
      <c r="E128" s="1095"/>
      <c r="F128" s="507"/>
      <c r="G128" s="393">
        <f t="shared" si="6"/>
        <v>12.222222222222221</v>
      </c>
      <c r="H128" s="394">
        <f>('SITE DATA'!$F$26-(0.2*G128))^2/('SITE DATA'!$F$26+(0.8*G128))</f>
        <v>0.61111111111111116</v>
      </c>
      <c r="I128" s="395">
        <v>45</v>
      </c>
      <c r="J128" s="394">
        <f>('SITE DATA'!$F$27-(0.2*G128))^2/('SITE DATA'!$F$27+(0.8*G128))</f>
        <v>0.61111111111111116</v>
      </c>
      <c r="K128" s="395">
        <v>45</v>
      </c>
      <c r="L128" s="394">
        <f>('SITE DATA'!$F$28-(0.2*G128))^2/('SITE DATA'!$F$28+(0.8*G128))</f>
        <v>0.61111111111111116</v>
      </c>
      <c r="M128" s="395">
        <v>45</v>
      </c>
    </row>
    <row r="129" spans="2:13" hidden="1" x14ac:dyDescent="0.2">
      <c r="B129" s="601" t="s">
        <v>211</v>
      </c>
      <c r="C129" s="598">
        <v>0.3</v>
      </c>
      <c r="D129" s="1094">
        <v>0.6</v>
      </c>
      <c r="E129" s="1095"/>
      <c r="F129" s="507"/>
      <c r="G129" s="393">
        <f t="shared" si="6"/>
        <v>11.739130434782609</v>
      </c>
      <c r="H129" s="394">
        <f>('SITE DATA'!$F$26-(0.2*G129))^2/('SITE DATA'!$F$26+(0.8*G129))</f>
        <v>0.58695652173913049</v>
      </c>
      <c r="I129" s="395">
        <v>46</v>
      </c>
      <c r="J129" s="394">
        <f>('SITE DATA'!$F$27-(0.2*G129))^2/('SITE DATA'!$F$27+(0.8*G129))</f>
        <v>0.58695652173913049</v>
      </c>
      <c r="K129" s="395">
        <v>46</v>
      </c>
      <c r="L129" s="394">
        <f>('SITE DATA'!$F$28-(0.2*G129))^2/('SITE DATA'!$F$28+(0.8*G129))</f>
        <v>0.58695652173913049</v>
      </c>
      <c r="M129" s="395">
        <v>46</v>
      </c>
    </row>
    <row r="130" spans="2:13" hidden="1" x14ac:dyDescent="0.2">
      <c r="B130" s="601" t="s">
        <v>212</v>
      </c>
      <c r="C130" s="598">
        <v>0.3</v>
      </c>
      <c r="D130" s="1094">
        <v>0.85</v>
      </c>
      <c r="E130" s="1095"/>
      <c r="F130" s="507"/>
      <c r="G130" s="393">
        <f t="shared" si="6"/>
        <v>11.276595744680851</v>
      </c>
      <c r="H130" s="394">
        <f>('SITE DATA'!$F$26-(0.2*G130))^2/('SITE DATA'!$F$26+(0.8*G130))</f>
        <v>0.56382978723404253</v>
      </c>
      <c r="I130" s="395">
        <v>47</v>
      </c>
      <c r="J130" s="394">
        <f>('SITE DATA'!$F$27-(0.2*G130))^2/('SITE DATA'!$F$27+(0.8*G130))</f>
        <v>0.56382978723404253</v>
      </c>
      <c r="K130" s="395">
        <v>47</v>
      </c>
      <c r="L130" s="394">
        <f>('SITE DATA'!$F$28-(0.2*G130))^2/('SITE DATA'!$F$28+(0.8*G130))</f>
        <v>0.56382978723404253</v>
      </c>
      <c r="M130" s="395">
        <v>47</v>
      </c>
    </row>
    <row r="131" spans="2:13" hidden="1" x14ac:dyDescent="0.2">
      <c r="B131" s="601" t="s">
        <v>213</v>
      </c>
      <c r="C131" s="598">
        <v>0.1</v>
      </c>
      <c r="D131" s="1094">
        <v>0.5</v>
      </c>
      <c r="E131" s="1095"/>
      <c r="F131" s="507"/>
      <c r="G131" s="393">
        <f t="shared" si="6"/>
        <v>10.833333333333332</v>
      </c>
      <c r="H131" s="394">
        <f>('SITE DATA'!$F$26-(0.2*G131))^2/('SITE DATA'!$F$26+(0.8*G131))</f>
        <v>0.54166666666666663</v>
      </c>
      <c r="I131" s="395">
        <f>48</f>
        <v>48</v>
      </c>
      <c r="J131" s="394">
        <f>('SITE DATA'!$F$27-(0.2*G131))^2/('SITE DATA'!$F$27+(0.8*G131))</f>
        <v>0.54166666666666663</v>
      </c>
      <c r="K131" s="395">
        <f>48</f>
        <v>48</v>
      </c>
      <c r="L131" s="394">
        <f>('SITE DATA'!$F$28-(0.2*G131))^2/('SITE DATA'!$F$28+(0.8*G131))</f>
        <v>0.54166666666666663</v>
      </c>
      <c r="M131" s="395">
        <f>48</f>
        <v>48</v>
      </c>
    </row>
    <row r="132" spans="2:13" hidden="1" x14ac:dyDescent="0.2">
      <c r="B132" s="601" t="s">
        <v>53</v>
      </c>
      <c r="C132" s="598">
        <v>0</v>
      </c>
      <c r="D132" s="1094">
        <v>0</v>
      </c>
      <c r="E132" s="1095"/>
      <c r="F132" s="507"/>
      <c r="G132" s="393">
        <f t="shared" si="6"/>
        <v>10.408163265306122</v>
      </c>
      <c r="H132" s="394">
        <f>('SITE DATA'!$F$26-(0.2*G132))^2/('SITE DATA'!$F$26+(0.8*G132))</f>
        <v>0.52040816326530615</v>
      </c>
      <c r="I132" s="395">
        <f t="shared" ref="I132:I181" si="7">I131+1</f>
        <v>49</v>
      </c>
      <c r="J132" s="394">
        <f>('SITE DATA'!$F$27-(0.2*G132))^2/('SITE DATA'!$F$27+(0.8*G132))</f>
        <v>0.52040816326530615</v>
      </c>
      <c r="K132" s="395">
        <f t="shared" ref="K132:K181" si="8">K131+1</f>
        <v>49</v>
      </c>
      <c r="L132" s="394">
        <f>('SITE DATA'!$F$28-(0.2*G132))^2/('SITE DATA'!$F$28+(0.8*G132))</f>
        <v>0.52040816326530615</v>
      </c>
      <c r="M132" s="395">
        <f t="shared" ref="M132:M181" si="9">M131+1</f>
        <v>49</v>
      </c>
    </row>
    <row r="133" spans="2:13" hidden="1" x14ac:dyDescent="0.2">
      <c r="B133" s="601" t="s">
        <v>579</v>
      </c>
      <c r="C133" s="598">
        <v>0</v>
      </c>
      <c r="D133" s="1094">
        <v>0</v>
      </c>
      <c r="E133" s="1095"/>
      <c r="F133" s="507"/>
      <c r="G133" s="393">
        <f>(1000/I133)-10</f>
        <v>10</v>
      </c>
      <c r="H133" s="394">
        <f>('SITE DATA'!$F$26-(0.2*G133))^2/('SITE DATA'!$F$26+(0.8*G133))</f>
        <v>0.5</v>
      </c>
      <c r="I133" s="395">
        <f t="shared" si="7"/>
        <v>50</v>
      </c>
      <c r="J133" s="394">
        <f>('SITE DATA'!$F$27-(0.2*G133))^2/('SITE DATA'!$F$27+(0.8*G133))</f>
        <v>0.5</v>
      </c>
      <c r="K133" s="395">
        <f t="shared" si="8"/>
        <v>50</v>
      </c>
      <c r="L133" s="394">
        <f>('SITE DATA'!$F$28-(0.2*G133))^2/('SITE DATA'!$F$28+(0.8*G133))</f>
        <v>0.5</v>
      </c>
      <c r="M133" s="395">
        <f t="shared" si="9"/>
        <v>50</v>
      </c>
    </row>
    <row r="134" spans="2:13" ht="15.75" hidden="1" thickBot="1" x14ac:dyDescent="0.25">
      <c r="B134" s="602" t="s">
        <v>564</v>
      </c>
      <c r="C134" s="604">
        <f>IF(C13="Yes",G13,F134)</f>
        <v>1</v>
      </c>
      <c r="D134" s="1036" t="s">
        <v>563</v>
      </c>
      <c r="E134" s="1037"/>
      <c r="F134" s="616">
        <v>1</v>
      </c>
      <c r="G134" s="393">
        <f t="shared" si="6"/>
        <v>9.6078431372549034</v>
      </c>
      <c r="H134" s="394">
        <f>('SITE DATA'!$F$26-(0.2*G134))^2/('SITE DATA'!$F$26+(0.8*G134))</f>
        <v>0.48039215686274517</v>
      </c>
      <c r="I134" s="395">
        <f t="shared" si="7"/>
        <v>51</v>
      </c>
      <c r="J134" s="394">
        <f>('SITE DATA'!$F$27-(0.2*G134))^2/('SITE DATA'!$F$27+(0.8*G134))</f>
        <v>0.48039215686274517</v>
      </c>
      <c r="K134" s="395">
        <f t="shared" si="8"/>
        <v>51</v>
      </c>
      <c r="L134" s="394">
        <f>('SITE DATA'!$F$28-(0.2*G134))^2/('SITE DATA'!$F$28+(0.8*G134))</f>
        <v>0.48039215686274517</v>
      </c>
      <c r="M134" s="395">
        <f t="shared" si="9"/>
        <v>51</v>
      </c>
    </row>
    <row r="135" spans="2:13" hidden="1" x14ac:dyDescent="0.2">
      <c r="B135" s="514"/>
      <c r="C135" s="514"/>
      <c r="D135" s="507"/>
      <c r="E135" s="507"/>
      <c r="F135" s="507"/>
      <c r="G135" s="393">
        <f t="shared" si="6"/>
        <v>9.2307692307692299</v>
      </c>
      <c r="H135" s="394">
        <f>('SITE DATA'!$F$26-(0.2*G135))^2/('SITE DATA'!$F$26+(0.8*G135))</f>
        <v>0.46153846153846151</v>
      </c>
      <c r="I135" s="395">
        <f t="shared" si="7"/>
        <v>52</v>
      </c>
      <c r="J135" s="394">
        <f>('SITE DATA'!$F$27-(0.2*G135))^2/('SITE DATA'!$F$27+(0.8*G135))</f>
        <v>0.46153846153846151</v>
      </c>
      <c r="K135" s="395">
        <f t="shared" si="8"/>
        <v>52</v>
      </c>
      <c r="L135" s="394">
        <f>('SITE DATA'!$F$28-(0.2*G135))^2/('SITE DATA'!$F$28+(0.8*G135))</f>
        <v>0.46153846153846151</v>
      </c>
      <c r="M135" s="395">
        <f t="shared" si="9"/>
        <v>52</v>
      </c>
    </row>
    <row r="136" spans="2:13" hidden="1" x14ac:dyDescent="0.2">
      <c r="B136" s="514"/>
      <c r="C136" s="514"/>
      <c r="D136" s="507"/>
      <c r="E136" s="396"/>
      <c r="F136" s="507"/>
      <c r="G136" s="393">
        <f t="shared" si="6"/>
        <v>8.8679245283018879</v>
      </c>
      <c r="H136" s="394">
        <f>('SITE DATA'!$F$26-(0.2*G136))^2/('SITE DATA'!$F$26+(0.8*G136))</f>
        <v>0.44339622641509441</v>
      </c>
      <c r="I136" s="395">
        <f t="shared" si="7"/>
        <v>53</v>
      </c>
      <c r="J136" s="394">
        <f>('SITE DATA'!$F$27-(0.2*G136))^2/('SITE DATA'!$F$27+(0.8*G136))</f>
        <v>0.44339622641509441</v>
      </c>
      <c r="K136" s="395">
        <f t="shared" si="8"/>
        <v>53</v>
      </c>
      <c r="L136" s="394">
        <f>('SITE DATA'!$F$28-(0.2*G136))^2/('SITE DATA'!$F$28+(0.8*G136))</f>
        <v>0.44339622641509441</v>
      </c>
      <c r="M136" s="395">
        <f t="shared" si="9"/>
        <v>53</v>
      </c>
    </row>
    <row r="137" spans="2:13" hidden="1" x14ac:dyDescent="0.2">
      <c r="B137" s="507"/>
      <c r="C137" s="507"/>
      <c r="D137" s="507"/>
      <c r="E137" s="507"/>
      <c r="F137" s="507"/>
      <c r="G137" s="393">
        <f t="shared" si="6"/>
        <v>8.518518518518519</v>
      </c>
      <c r="H137" s="394">
        <f>('SITE DATA'!$F$26-(0.2*G137))^2/('SITE DATA'!$F$26+(0.8*G137))</f>
        <v>0.42592592592592599</v>
      </c>
      <c r="I137" s="395">
        <f t="shared" si="7"/>
        <v>54</v>
      </c>
      <c r="J137" s="394">
        <f>('SITE DATA'!$F$27-(0.2*G137))^2/('SITE DATA'!$F$27+(0.8*G137))</f>
        <v>0.42592592592592599</v>
      </c>
      <c r="K137" s="395">
        <f t="shared" si="8"/>
        <v>54</v>
      </c>
      <c r="L137" s="394">
        <f>('SITE DATA'!$F$28-(0.2*G137))^2/('SITE DATA'!$F$28+(0.8*G137))</f>
        <v>0.42592592592592599</v>
      </c>
      <c r="M137" s="395">
        <f t="shared" si="9"/>
        <v>54</v>
      </c>
    </row>
    <row r="138" spans="2:13" hidden="1" x14ac:dyDescent="0.2">
      <c r="B138" s="507"/>
      <c r="C138" s="507"/>
      <c r="D138" s="507"/>
      <c r="E138" s="507"/>
      <c r="F138" s="396"/>
      <c r="G138" s="393">
        <f t="shared" si="6"/>
        <v>8.1818181818181834</v>
      </c>
      <c r="H138" s="394">
        <f>('SITE DATA'!$F$26-(0.2*G138))^2/('SITE DATA'!$F$26+(0.8*G138))</f>
        <v>0.40909090909090912</v>
      </c>
      <c r="I138" s="395">
        <f t="shared" si="7"/>
        <v>55</v>
      </c>
      <c r="J138" s="394">
        <f>('SITE DATA'!$F$27-(0.2*G138))^2/('SITE DATA'!$F$27+(0.8*G138))</f>
        <v>0.40909090909090912</v>
      </c>
      <c r="K138" s="395">
        <f t="shared" si="8"/>
        <v>55</v>
      </c>
      <c r="L138" s="394">
        <f>('SITE DATA'!$F$28-(0.2*G138))^2/('SITE DATA'!$F$28+(0.8*G138))</f>
        <v>0.40909090909090912</v>
      </c>
      <c r="M138" s="395">
        <f t="shared" si="9"/>
        <v>55</v>
      </c>
    </row>
    <row r="139" spans="2:13" hidden="1" x14ac:dyDescent="0.2">
      <c r="B139" s="507"/>
      <c r="C139" s="507"/>
      <c r="D139" s="507"/>
      <c r="E139" s="507"/>
      <c r="F139" s="507"/>
      <c r="G139" s="393">
        <f t="shared" si="6"/>
        <v>7.8571428571428577</v>
      </c>
      <c r="H139" s="394">
        <f>('SITE DATA'!$F$26-(0.2*G139))^2/('SITE DATA'!$F$26+(0.8*G139))</f>
        <v>0.3928571428571429</v>
      </c>
      <c r="I139" s="395">
        <f t="shared" si="7"/>
        <v>56</v>
      </c>
      <c r="J139" s="394">
        <f>('SITE DATA'!$F$27-(0.2*G139))^2/('SITE DATA'!$F$27+(0.8*G139))</f>
        <v>0.3928571428571429</v>
      </c>
      <c r="K139" s="395">
        <f t="shared" si="8"/>
        <v>56</v>
      </c>
      <c r="L139" s="394">
        <f>('SITE DATA'!$F$28-(0.2*G139))^2/('SITE DATA'!$F$28+(0.8*G139))</f>
        <v>0.3928571428571429</v>
      </c>
      <c r="M139" s="395">
        <f t="shared" si="9"/>
        <v>56</v>
      </c>
    </row>
    <row r="140" spans="2:13" hidden="1" x14ac:dyDescent="0.2">
      <c r="B140" s="507"/>
      <c r="C140" s="507"/>
      <c r="D140" s="507"/>
      <c r="E140" s="507"/>
      <c r="F140" s="507"/>
      <c r="G140" s="393">
        <f t="shared" si="6"/>
        <v>7.5438596491228083</v>
      </c>
      <c r="H140" s="394">
        <f>('SITE DATA'!$F$26-(0.2*G140))^2/('SITE DATA'!$F$26+(0.8*G140))</f>
        <v>0.37719298245614041</v>
      </c>
      <c r="I140" s="395">
        <f t="shared" si="7"/>
        <v>57</v>
      </c>
      <c r="J140" s="394">
        <f>('SITE DATA'!$F$27-(0.2*G140))^2/('SITE DATA'!$F$27+(0.8*G140))</f>
        <v>0.37719298245614041</v>
      </c>
      <c r="K140" s="395">
        <f t="shared" si="8"/>
        <v>57</v>
      </c>
      <c r="L140" s="394">
        <f>('SITE DATA'!$F$28-(0.2*G140))^2/('SITE DATA'!$F$28+(0.8*G140))</f>
        <v>0.37719298245614041</v>
      </c>
      <c r="M140" s="395">
        <f t="shared" si="9"/>
        <v>57</v>
      </c>
    </row>
    <row r="141" spans="2:13" hidden="1" x14ac:dyDescent="0.2">
      <c r="B141" s="507"/>
      <c r="C141" s="507"/>
      <c r="D141" s="507"/>
      <c r="E141" s="507"/>
      <c r="F141" s="507"/>
      <c r="G141" s="393">
        <f t="shared" si="6"/>
        <v>7.2413793103448292</v>
      </c>
      <c r="H141" s="394">
        <f>('SITE DATA'!$F$26-(0.2*G141))^2/('SITE DATA'!$F$26+(0.8*G141))</f>
        <v>0.36206896551724144</v>
      </c>
      <c r="I141" s="395">
        <f t="shared" si="7"/>
        <v>58</v>
      </c>
      <c r="J141" s="394">
        <f>('SITE DATA'!$F$27-(0.2*G141))^2/('SITE DATA'!$F$27+(0.8*G141))</f>
        <v>0.36206896551724144</v>
      </c>
      <c r="K141" s="395">
        <f t="shared" si="8"/>
        <v>58</v>
      </c>
      <c r="L141" s="394">
        <f>('SITE DATA'!$F$28-(0.2*G141))^2/('SITE DATA'!$F$28+(0.8*G141))</f>
        <v>0.36206896551724144</v>
      </c>
      <c r="M141" s="395">
        <f t="shared" si="9"/>
        <v>58</v>
      </c>
    </row>
    <row r="142" spans="2:13" ht="15.75" hidden="1" thickBot="1" x14ac:dyDescent="0.25">
      <c r="B142" s="507"/>
      <c r="C142" s="507"/>
      <c r="D142" s="507"/>
      <c r="E142" s="507"/>
      <c r="F142" s="507"/>
      <c r="G142" s="393">
        <f t="shared" si="6"/>
        <v>6.9491525423728824</v>
      </c>
      <c r="H142" s="394">
        <f>('SITE DATA'!$F$26-(0.2*G142))^2/('SITE DATA'!$F$26+(0.8*G142))</f>
        <v>0.34745762711864414</v>
      </c>
      <c r="I142" s="395">
        <f t="shared" si="7"/>
        <v>59</v>
      </c>
      <c r="J142" s="394">
        <f>('SITE DATA'!$F$27-(0.2*G142))^2/('SITE DATA'!$F$27+(0.8*G142))</f>
        <v>0.34745762711864414</v>
      </c>
      <c r="K142" s="395">
        <f t="shared" si="8"/>
        <v>59</v>
      </c>
      <c r="L142" s="394">
        <f>('SITE DATA'!$F$28-(0.2*G142))^2/('SITE DATA'!$F$28+(0.8*G142))</f>
        <v>0.34745762711864414</v>
      </c>
      <c r="M142" s="395">
        <f t="shared" si="9"/>
        <v>59</v>
      </c>
    </row>
    <row r="143" spans="2:13" ht="16.5" hidden="1" thickBot="1" x14ac:dyDescent="0.3">
      <c r="B143" s="612" t="s">
        <v>532</v>
      </c>
      <c r="C143" s="543"/>
      <c r="D143" s="544"/>
      <c r="E143" s="507"/>
      <c r="F143" s="507"/>
      <c r="G143" s="393">
        <f t="shared" si="6"/>
        <v>6.6666666666666679</v>
      </c>
      <c r="H143" s="394">
        <f>('SITE DATA'!$F$26-(0.2*G143))^2/('SITE DATA'!$F$26+(0.8*G143))</f>
        <v>0.33333333333333343</v>
      </c>
      <c r="I143" s="395">
        <f t="shared" si="7"/>
        <v>60</v>
      </c>
      <c r="J143" s="394">
        <f>('SITE DATA'!$F$27-(0.2*G143))^2/('SITE DATA'!$F$27+(0.8*G143))</f>
        <v>0.33333333333333343</v>
      </c>
      <c r="K143" s="395">
        <f t="shared" si="8"/>
        <v>60</v>
      </c>
      <c r="L143" s="394">
        <f>('SITE DATA'!$F$28-(0.2*G143))^2/('SITE DATA'!$F$28+(0.8*G143))</f>
        <v>0.33333333333333343</v>
      </c>
      <c r="M143" s="395">
        <f t="shared" si="9"/>
        <v>60</v>
      </c>
    </row>
    <row r="144" spans="2:13" hidden="1" x14ac:dyDescent="0.2">
      <c r="B144" s="530"/>
      <c r="C144" s="512"/>
      <c r="D144" s="522"/>
      <c r="E144" s="507"/>
      <c r="F144" s="507"/>
      <c r="G144" s="393">
        <f t="shared" si="6"/>
        <v>6.3934426229508183</v>
      </c>
      <c r="H144" s="394">
        <f>('SITE DATA'!$F$26-(0.2*G144))^2/('SITE DATA'!$F$26+(0.8*G144))</f>
        <v>0.31967213114754095</v>
      </c>
      <c r="I144" s="395">
        <f t="shared" si="7"/>
        <v>61</v>
      </c>
      <c r="J144" s="394">
        <f>('SITE DATA'!$F$27-(0.2*G144))^2/('SITE DATA'!$F$27+(0.8*G144))</f>
        <v>0.31967213114754095</v>
      </c>
      <c r="K144" s="395">
        <f t="shared" si="8"/>
        <v>61</v>
      </c>
      <c r="L144" s="394">
        <f>('SITE DATA'!$F$28-(0.2*G144))^2/('SITE DATA'!$F$28+(0.8*G144))</f>
        <v>0.31967213114754095</v>
      </c>
      <c r="M144" s="395">
        <f t="shared" si="9"/>
        <v>61</v>
      </c>
    </row>
    <row r="145" spans="2:13" ht="19.5" hidden="1" x14ac:dyDescent="0.35">
      <c r="B145" s="509" t="s">
        <v>534</v>
      </c>
      <c r="C145" s="506"/>
      <c r="D145" s="513"/>
      <c r="E145" s="507"/>
      <c r="F145" s="507"/>
      <c r="G145" s="393">
        <f t="shared" si="6"/>
        <v>6.129032258064516</v>
      </c>
      <c r="H145" s="394">
        <f>('SITE DATA'!$F$26-(0.2*G145))^2/('SITE DATA'!$F$26+(0.8*G145))</f>
        <v>0.30645161290322581</v>
      </c>
      <c r="I145" s="395">
        <f t="shared" si="7"/>
        <v>62</v>
      </c>
      <c r="J145" s="394">
        <f>('SITE DATA'!$F$27-(0.2*G145))^2/('SITE DATA'!$F$27+(0.8*G145))</f>
        <v>0.30645161290322581</v>
      </c>
      <c r="K145" s="395">
        <f t="shared" si="8"/>
        <v>62</v>
      </c>
      <c r="L145" s="394">
        <f>('SITE DATA'!$F$28-(0.2*G145))^2/('SITE DATA'!$F$28+(0.8*G145))</f>
        <v>0.30645161290322581</v>
      </c>
      <c r="M145" s="395">
        <f t="shared" si="9"/>
        <v>62</v>
      </c>
    </row>
    <row r="146" spans="2:13" hidden="1" x14ac:dyDescent="0.2">
      <c r="B146" s="509" t="s">
        <v>535</v>
      </c>
      <c r="C146" s="506"/>
      <c r="D146" s="513"/>
      <c r="E146" s="507"/>
      <c r="F146" s="507"/>
      <c r="G146" s="393">
        <f t="shared" si="6"/>
        <v>5.8730158730158735</v>
      </c>
      <c r="H146" s="394">
        <f>('SITE DATA'!$F$26-(0.2*G146))^2/('SITE DATA'!$F$26+(0.8*G146))</f>
        <v>0.29365079365079366</v>
      </c>
      <c r="I146" s="395">
        <f t="shared" si="7"/>
        <v>63</v>
      </c>
      <c r="J146" s="394">
        <f>('SITE DATA'!$F$27-(0.2*G146))^2/('SITE DATA'!$F$27+(0.8*G146))</f>
        <v>0.29365079365079366</v>
      </c>
      <c r="K146" s="395">
        <f t="shared" si="8"/>
        <v>63</v>
      </c>
      <c r="L146" s="394">
        <f>('SITE DATA'!$F$28-(0.2*G146))^2/('SITE DATA'!$F$28+(0.8*G146))</f>
        <v>0.29365079365079366</v>
      </c>
      <c r="M146" s="395">
        <f t="shared" si="9"/>
        <v>63</v>
      </c>
    </row>
    <row r="147" spans="2:13" hidden="1" x14ac:dyDescent="0.2">
      <c r="B147" s="509" t="s">
        <v>539</v>
      </c>
      <c r="C147" s="506"/>
      <c r="D147" s="513"/>
      <c r="E147" s="507"/>
      <c r="F147" s="507"/>
      <c r="G147" s="393">
        <f t="shared" si="6"/>
        <v>5.625</v>
      </c>
      <c r="H147" s="394">
        <f>('SITE DATA'!$F$26-(0.2*G147))^2/('SITE DATA'!$F$26+(0.8*G147))</f>
        <v>0.28125</v>
      </c>
      <c r="I147" s="395">
        <f t="shared" si="7"/>
        <v>64</v>
      </c>
      <c r="J147" s="394">
        <f>('SITE DATA'!$F$27-(0.2*G147))^2/('SITE DATA'!$F$27+(0.8*G147))</f>
        <v>0.28125</v>
      </c>
      <c r="K147" s="395">
        <f t="shared" si="8"/>
        <v>64</v>
      </c>
      <c r="L147" s="394">
        <f>('SITE DATA'!$F$28-(0.2*G147))^2/('SITE DATA'!$F$28+(0.8*G147))</f>
        <v>0.28125</v>
      </c>
      <c r="M147" s="395">
        <f t="shared" si="9"/>
        <v>64</v>
      </c>
    </row>
    <row r="148" spans="2:13" ht="19.5" hidden="1" x14ac:dyDescent="0.35">
      <c r="B148" s="509" t="s">
        <v>541</v>
      </c>
      <c r="C148" s="506"/>
      <c r="D148" s="513"/>
      <c r="E148" s="507"/>
      <c r="F148" s="507"/>
      <c r="G148" s="393">
        <f t="shared" si="6"/>
        <v>5.384615384615385</v>
      </c>
      <c r="H148" s="394">
        <f>('SITE DATA'!$F$26-(0.2*G148))^2/('SITE DATA'!$F$26+(0.8*G148))</f>
        <v>0.26923076923076927</v>
      </c>
      <c r="I148" s="395">
        <f t="shared" si="7"/>
        <v>65</v>
      </c>
      <c r="J148" s="394">
        <f>('SITE DATA'!$F$27-(0.2*G148))^2/('SITE DATA'!$F$27+(0.8*G148))</f>
        <v>0.26923076923076927</v>
      </c>
      <c r="K148" s="395">
        <f t="shared" si="8"/>
        <v>65</v>
      </c>
      <c r="L148" s="394">
        <f>('SITE DATA'!$F$28-(0.2*G148))^2/('SITE DATA'!$F$28+(0.8*G148))</f>
        <v>0.26923076923076927</v>
      </c>
      <c r="M148" s="395">
        <f t="shared" si="9"/>
        <v>65</v>
      </c>
    </row>
    <row r="149" spans="2:13" hidden="1" x14ac:dyDescent="0.2">
      <c r="B149" s="538"/>
      <c r="C149" s="511" t="s">
        <v>543</v>
      </c>
      <c r="D149" s="613" t="e">
        <f>(SUM(D25:E25))/SUM(D17:M25)</f>
        <v>#DIV/0!</v>
      </c>
      <c r="E149" s="507"/>
      <c r="F149" s="507"/>
      <c r="G149" s="393">
        <f t="shared" si="6"/>
        <v>5.1515151515151523</v>
      </c>
      <c r="H149" s="394">
        <f>('SITE DATA'!$F$26-(0.2*G149))^2/('SITE DATA'!$F$26+(0.8*G149))</f>
        <v>0.25757575757575762</v>
      </c>
      <c r="I149" s="395">
        <f t="shared" si="7"/>
        <v>66</v>
      </c>
      <c r="J149" s="394">
        <f>('SITE DATA'!$F$27-(0.2*G149))^2/('SITE DATA'!$F$27+(0.8*G149))</f>
        <v>0.25757575757575762</v>
      </c>
      <c r="K149" s="395">
        <f t="shared" si="8"/>
        <v>66</v>
      </c>
      <c r="L149" s="394">
        <f>('SITE DATA'!$F$28-(0.2*G149))^2/('SITE DATA'!$F$28+(0.8*G149))</f>
        <v>0.25757575757575762</v>
      </c>
      <c r="M149" s="395">
        <f t="shared" si="9"/>
        <v>66</v>
      </c>
    </row>
    <row r="150" spans="2:13" ht="24" hidden="1" thickBot="1" x14ac:dyDescent="0.4">
      <c r="B150" s="540" t="s">
        <v>569</v>
      </c>
      <c r="C150" s="511" t="s">
        <v>547</v>
      </c>
      <c r="D150" s="539" t="e">
        <f>0.05+(0.9*D149)</f>
        <v>#DIV/0!</v>
      </c>
      <c r="E150" s="507" t="s">
        <v>726</v>
      </c>
      <c r="F150" s="507"/>
      <c r="G150" s="393">
        <f t="shared" si="6"/>
        <v>4.9253731343283587</v>
      </c>
      <c r="H150" s="394">
        <f>('SITE DATA'!$F$26-(0.2*G150))^2/('SITE DATA'!$F$26+(0.8*G150))</f>
        <v>0.24626865671641796</v>
      </c>
      <c r="I150" s="395">
        <f t="shared" si="7"/>
        <v>67</v>
      </c>
      <c r="J150" s="394">
        <f>('SITE DATA'!$F$27-(0.2*G150))^2/('SITE DATA'!$F$27+(0.8*G150))</f>
        <v>0.24626865671641796</v>
      </c>
      <c r="K150" s="395">
        <f t="shared" si="8"/>
        <v>67</v>
      </c>
      <c r="L150" s="394">
        <f>('SITE DATA'!$F$28-(0.2*G150))^2/('SITE DATA'!$F$28+(0.8*G150))</f>
        <v>0.24626865671641796</v>
      </c>
      <c r="M150" s="395">
        <f t="shared" si="9"/>
        <v>67</v>
      </c>
    </row>
    <row r="151" spans="2:13" ht="24" hidden="1" thickBot="1" x14ac:dyDescent="0.4">
      <c r="B151" s="540"/>
      <c r="C151" s="534" t="s">
        <v>549</v>
      </c>
      <c r="D151" s="535" t="e">
        <f>3630*1*D150*SUM(D17:E25)</f>
        <v>#DIV/0!</v>
      </c>
      <c r="E151" s="615" t="e">
        <f>D151</f>
        <v>#DIV/0!</v>
      </c>
      <c r="F151" s="507"/>
      <c r="G151" s="393">
        <f t="shared" si="6"/>
        <v>4.7058823529411757</v>
      </c>
      <c r="H151" s="394">
        <f>('SITE DATA'!$F$26-(0.2*G151))^2/('SITE DATA'!$F$26+(0.8*G151))</f>
        <v>0.23529411764705879</v>
      </c>
      <c r="I151" s="395">
        <f t="shared" si="7"/>
        <v>68</v>
      </c>
      <c r="J151" s="394">
        <f>('SITE DATA'!$F$27-(0.2*G151))^2/('SITE DATA'!$F$27+(0.8*G151))</f>
        <v>0.23529411764705879</v>
      </c>
      <c r="K151" s="395">
        <f t="shared" si="8"/>
        <v>68</v>
      </c>
      <c r="L151" s="394">
        <f>('SITE DATA'!$F$28-(0.2*G151))^2/('SITE DATA'!$F$28+(0.8*G151))</f>
        <v>0.23529411764705879</v>
      </c>
      <c r="M151" s="395">
        <f t="shared" si="9"/>
        <v>68</v>
      </c>
    </row>
    <row r="152" spans="2:13" ht="15.75" hidden="1" thickBot="1" x14ac:dyDescent="0.25">
      <c r="B152" s="541"/>
      <c r="C152" s="537"/>
      <c r="D152" s="531"/>
      <c r="E152" s="507"/>
      <c r="F152" s="507"/>
      <c r="G152" s="393">
        <f t="shared" si="6"/>
        <v>4.4927536231884062</v>
      </c>
      <c r="H152" s="394">
        <f>('SITE DATA'!$F$26-(0.2*G152))^2/('SITE DATA'!$F$26+(0.8*G152))</f>
        <v>0.22463768115942032</v>
      </c>
      <c r="I152" s="395">
        <f t="shared" si="7"/>
        <v>69</v>
      </c>
      <c r="J152" s="394">
        <f>('SITE DATA'!$F$27-(0.2*G152))^2/('SITE DATA'!$F$27+(0.8*G152))</f>
        <v>0.22463768115942032</v>
      </c>
      <c r="K152" s="395">
        <f t="shared" si="8"/>
        <v>69</v>
      </c>
      <c r="L152" s="394">
        <f>('SITE DATA'!$F$28-(0.2*G152))^2/('SITE DATA'!$F$28+(0.8*G152))</f>
        <v>0.22463768115942032</v>
      </c>
      <c r="M152" s="395">
        <f t="shared" si="9"/>
        <v>69</v>
      </c>
    </row>
    <row r="153" spans="2:13" hidden="1" x14ac:dyDescent="0.2">
      <c r="B153" s="538"/>
      <c r="C153" s="511" t="s">
        <v>543</v>
      </c>
      <c r="D153" s="613" t="e">
        <f>(SUM(F25:G25))/SUM(D17:M25)</f>
        <v>#DIV/0!</v>
      </c>
      <c r="E153" s="507"/>
      <c r="F153" s="507"/>
      <c r="G153" s="393">
        <f t="shared" si="6"/>
        <v>4.2857142857142865</v>
      </c>
      <c r="H153" s="394">
        <f>('SITE DATA'!$F$26-(0.2*G153))^2/('SITE DATA'!$F$26+(0.8*G153))</f>
        <v>0.21428571428571433</v>
      </c>
      <c r="I153" s="395">
        <f t="shared" si="7"/>
        <v>70</v>
      </c>
      <c r="J153" s="394">
        <f>('SITE DATA'!$F$27-(0.2*G153))^2/('SITE DATA'!$F$27+(0.8*G153))</f>
        <v>0.21428571428571433</v>
      </c>
      <c r="K153" s="395">
        <f t="shared" si="8"/>
        <v>70</v>
      </c>
      <c r="L153" s="394">
        <f>('SITE DATA'!$F$28-(0.2*G153))^2/('SITE DATA'!$F$28+(0.8*G153))</f>
        <v>0.21428571428571433</v>
      </c>
      <c r="M153" s="395">
        <f t="shared" si="9"/>
        <v>70</v>
      </c>
    </row>
    <row r="154" spans="2:13" ht="24" hidden="1" thickBot="1" x14ac:dyDescent="0.4">
      <c r="B154" s="540" t="s">
        <v>570</v>
      </c>
      <c r="C154" s="511" t="s">
        <v>547</v>
      </c>
      <c r="D154" s="539" t="e">
        <f>0.05+(0.9*D153)</f>
        <v>#DIV/0!</v>
      </c>
      <c r="E154" s="507"/>
      <c r="F154" s="507"/>
      <c r="G154" s="393">
        <f t="shared" si="6"/>
        <v>4.0845070422535219</v>
      </c>
      <c r="H154" s="394">
        <f>('SITE DATA'!$F$26-(0.2*G154))^2/('SITE DATA'!$F$26+(0.8*G154))</f>
        <v>0.20422535211267612</v>
      </c>
      <c r="I154" s="395">
        <f t="shared" si="7"/>
        <v>71</v>
      </c>
      <c r="J154" s="394">
        <f>('SITE DATA'!$F$27-(0.2*G154))^2/('SITE DATA'!$F$27+(0.8*G154))</f>
        <v>0.20422535211267612</v>
      </c>
      <c r="K154" s="395">
        <f t="shared" si="8"/>
        <v>71</v>
      </c>
      <c r="L154" s="394">
        <f>('SITE DATA'!$F$28-(0.2*G154))^2/('SITE DATA'!$F$28+(0.8*G154))</f>
        <v>0.20422535211267612</v>
      </c>
      <c r="M154" s="395">
        <f t="shared" si="9"/>
        <v>71</v>
      </c>
    </row>
    <row r="155" spans="2:13" ht="24" hidden="1" thickBot="1" x14ac:dyDescent="0.4">
      <c r="B155" s="540"/>
      <c r="C155" s="534" t="s">
        <v>549</v>
      </c>
      <c r="D155" s="535" t="e">
        <f>3630*1*D154*SUM(F17:G25)</f>
        <v>#DIV/0!</v>
      </c>
      <c r="E155" s="615" t="e">
        <f>D155</f>
        <v>#DIV/0!</v>
      </c>
      <c r="F155" s="507"/>
      <c r="G155" s="393">
        <f t="shared" si="6"/>
        <v>3.8888888888888893</v>
      </c>
      <c r="H155" s="394">
        <f>('SITE DATA'!$F$26-(0.2*G155))^2/('SITE DATA'!$F$26+(0.8*G155))</f>
        <v>0.1944444444444445</v>
      </c>
      <c r="I155" s="395">
        <f t="shared" si="7"/>
        <v>72</v>
      </c>
      <c r="J155" s="394">
        <f>('SITE DATA'!$F$27-(0.2*G155))^2/('SITE DATA'!$F$27+(0.8*G155))</f>
        <v>0.1944444444444445</v>
      </c>
      <c r="K155" s="395">
        <f t="shared" si="8"/>
        <v>72</v>
      </c>
      <c r="L155" s="394">
        <f>('SITE DATA'!$F$28-(0.2*G155))^2/('SITE DATA'!$F$28+(0.8*G155))</f>
        <v>0.1944444444444445</v>
      </c>
      <c r="M155" s="395">
        <f t="shared" si="9"/>
        <v>72</v>
      </c>
    </row>
    <row r="156" spans="2:13" ht="15.75" hidden="1" thickBot="1" x14ac:dyDescent="0.25">
      <c r="B156" s="541"/>
      <c r="C156" s="537"/>
      <c r="D156" s="531"/>
      <c r="E156" s="507"/>
      <c r="F156" s="507"/>
      <c r="G156" s="393">
        <f t="shared" si="6"/>
        <v>3.6986301369863011</v>
      </c>
      <c r="H156" s="394">
        <f>('SITE DATA'!$F$26-(0.2*G156))^2/('SITE DATA'!$F$26+(0.8*G156))</f>
        <v>0.18493150684931509</v>
      </c>
      <c r="I156" s="395">
        <f t="shared" si="7"/>
        <v>73</v>
      </c>
      <c r="J156" s="394">
        <f>('SITE DATA'!$F$27-(0.2*G156))^2/('SITE DATA'!$F$27+(0.8*G156))</f>
        <v>0.18493150684931509</v>
      </c>
      <c r="K156" s="395">
        <f t="shared" si="8"/>
        <v>73</v>
      </c>
      <c r="L156" s="394">
        <f>('SITE DATA'!$F$28-(0.2*G156))^2/('SITE DATA'!$F$28+(0.8*G156))</f>
        <v>0.18493150684931509</v>
      </c>
      <c r="M156" s="395">
        <f t="shared" si="9"/>
        <v>73</v>
      </c>
    </row>
    <row r="157" spans="2:13" hidden="1" x14ac:dyDescent="0.2">
      <c r="B157" s="538"/>
      <c r="C157" s="511" t="s">
        <v>543</v>
      </c>
      <c r="D157" s="613" t="e">
        <f>(SUM(H25:I25))/SUM(D17:M25)</f>
        <v>#DIV/0!</v>
      </c>
      <c r="E157" s="507"/>
      <c r="F157" s="507"/>
      <c r="G157" s="393">
        <f t="shared" si="6"/>
        <v>3.513513513513514</v>
      </c>
      <c r="H157" s="394">
        <f>('SITE DATA'!$F$26-(0.2*G157))^2/('SITE DATA'!$F$26+(0.8*G157))</f>
        <v>0.17567567567567571</v>
      </c>
      <c r="I157" s="395">
        <f t="shared" si="7"/>
        <v>74</v>
      </c>
      <c r="J157" s="394">
        <f>('SITE DATA'!$F$27-(0.2*G157))^2/('SITE DATA'!$F$27+(0.8*G157))</f>
        <v>0.17567567567567571</v>
      </c>
      <c r="K157" s="395">
        <f t="shared" si="8"/>
        <v>74</v>
      </c>
      <c r="L157" s="394">
        <f>('SITE DATA'!$F$28-(0.2*G157))^2/('SITE DATA'!$F$28+(0.8*G157))</f>
        <v>0.17567567567567571</v>
      </c>
      <c r="M157" s="395">
        <f t="shared" si="9"/>
        <v>74</v>
      </c>
    </row>
    <row r="158" spans="2:13" ht="24" hidden="1" thickBot="1" x14ac:dyDescent="0.4">
      <c r="B158" s="540" t="s">
        <v>571</v>
      </c>
      <c r="C158" s="511" t="s">
        <v>547</v>
      </c>
      <c r="D158" s="539" t="e">
        <f>0.05+(0.9*D157)</f>
        <v>#DIV/0!</v>
      </c>
      <c r="E158" s="507"/>
      <c r="F158" s="507"/>
      <c r="G158" s="393">
        <f t="shared" si="6"/>
        <v>3.3333333333333339</v>
      </c>
      <c r="H158" s="394">
        <f>('SITE DATA'!$F$26-(0.2*G158))^2/('SITE DATA'!$F$26+(0.8*G158))</f>
        <v>0.16666666666666671</v>
      </c>
      <c r="I158" s="395">
        <f t="shared" si="7"/>
        <v>75</v>
      </c>
      <c r="J158" s="394">
        <f>('SITE DATA'!$F$27-(0.2*G158))^2/('SITE DATA'!$F$27+(0.8*G158))</f>
        <v>0.16666666666666671</v>
      </c>
      <c r="K158" s="395">
        <f t="shared" si="8"/>
        <v>75</v>
      </c>
      <c r="L158" s="394">
        <f>('SITE DATA'!$F$28-(0.2*G158))^2/('SITE DATA'!$F$28+(0.8*G158))</f>
        <v>0.16666666666666671</v>
      </c>
      <c r="M158" s="395">
        <f t="shared" si="9"/>
        <v>75</v>
      </c>
    </row>
    <row r="159" spans="2:13" ht="24" hidden="1" thickBot="1" x14ac:dyDescent="0.4">
      <c r="B159" s="540"/>
      <c r="C159" s="534" t="s">
        <v>549</v>
      </c>
      <c r="D159" s="535" t="e">
        <f>3630*1*D158*SUM(H17:I25)</f>
        <v>#DIV/0!</v>
      </c>
      <c r="E159" s="615" t="e">
        <f>D159</f>
        <v>#DIV/0!</v>
      </c>
      <c r="F159" s="507"/>
      <c r="G159" s="393">
        <f t="shared" si="6"/>
        <v>3.1578947368421044</v>
      </c>
      <c r="H159" s="394">
        <f>('SITE DATA'!$F$26-(0.2*G159))^2/('SITE DATA'!$F$26+(0.8*G159))</f>
        <v>0.15789473684210523</v>
      </c>
      <c r="I159" s="586">
        <f t="shared" si="7"/>
        <v>76</v>
      </c>
      <c r="J159" s="394">
        <f>('SITE DATA'!$F$27-(0.2*G159))^2/('SITE DATA'!$F$27+(0.8*G159))</f>
        <v>0.15789473684210523</v>
      </c>
      <c r="K159" s="586">
        <f t="shared" si="8"/>
        <v>76</v>
      </c>
      <c r="L159" s="394">
        <f>('SITE DATA'!$F$28-(0.2*G159))^2/('SITE DATA'!$F$28+(0.8*G159))</f>
        <v>0.15789473684210523</v>
      </c>
      <c r="M159" s="586">
        <f t="shared" si="9"/>
        <v>76</v>
      </c>
    </row>
    <row r="160" spans="2:13" ht="15.75" hidden="1" thickBot="1" x14ac:dyDescent="0.25">
      <c r="B160" s="541"/>
      <c r="C160" s="537"/>
      <c r="D160" s="531"/>
      <c r="E160" s="507"/>
      <c r="F160" s="507"/>
      <c r="G160" s="393">
        <f t="shared" si="6"/>
        <v>2.9870129870129869</v>
      </c>
      <c r="H160" s="394">
        <f>('SITE DATA'!$F$26-(0.2*G160))^2/('SITE DATA'!$F$26+(0.8*G160))</f>
        <v>0.14935064935064934</v>
      </c>
      <c r="I160" s="586">
        <f t="shared" si="7"/>
        <v>77</v>
      </c>
      <c r="J160" s="394">
        <f>('SITE DATA'!$F$27-(0.2*G160))^2/('SITE DATA'!$F$27+(0.8*G160))</f>
        <v>0.14935064935064934</v>
      </c>
      <c r="K160" s="586">
        <f t="shared" si="8"/>
        <v>77</v>
      </c>
      <c r="L160" s="394">
        <f>('SITE DATA'!$F$28-(0.2*G160))^2/('SITE DATA'!$F$28+(0.8*G160))</f>
        <v>0.14935064935064934</v>
      </c>
      <c r="M160" s="586">
        <f t="shared" si="9"/>
        <v>77</v>
      </c>
    </row>
    <row r="161" spans="2:13" hidden="1" x14ac:dyDescent="0.2">
      <c r="B161" s="538"/>
      <c r="C161" s="511" t="s">
        <v>543</v>
      </c>
      <c r="D161" s="613" t="e">
        <f>(SUM(J25:K25))/SUM(D17:M25)</f>
        <v>#DIV/0!</v>
      </c>
      <c r="E161" s="507"/>
      <c r="F161" s="507"/>
      <c r="G161" s="393">
        <f t="shared" si="6"/>
        <v>2.8205128205128212</v>
      </c>
      <c r="H161" s="394">
        <f>('SITE DATA'!$F$26-(0.2*G161))^2/('SITE DATA'!$F$26+(0.8*G161))</f>
        <v>0.14102564102564105</v>
      </c>
      <c r="I161" s="586">
        <f t="shared" si="7"/>
        <v>78</v>
      </c>
      <c r="J161" s="394">
        <f>('SITE DATA'!$F$27-(0.2*G161))^2/('SITE DATA'!$F$27+(0.8*G161))</f>
        <v>0.14102564102564105</v>
      </c>
      <c r="K161" s="586">
        <f t="shared" si="8"/>
        <v>78</v>
      </c>
      <c r="L161" s="394">
        <f>('SITE DATA'!$F$28-(0.2*G161))^2/('SITE DATA'!$F$28+(0.8*G161))</f>
        <v>0.14102564102564105</v>
      </c>
      <c r="M161" s="586">
        <f t="shared" si="9"/>
        <v>78</v>
      </c>
    </row>
    <row r="162" spans="2:13" ht="24" hidden="1" thickBot="1" x14ac:dyDescent="0.4">
      <c r="B162" s="540" t="s">
        <v>572</v>
      </c>
      <c r="C162" s="511" t="s">
        <v>547</v>
      </c>
      <c r="D162" s="539" t="e">
        <f>0.05+(0.9*D161)</f>
        <v>#DIV/0!</v>
      </c>
      <c r="E162" s="507"/>
      <c r="F162" s="507"/>
      <c r="G162" s="393">
        <f t="shared" si="6"/>
        <v>2.6582278481012658</v>
      </c>
      <c r="H162" s="394">
        <f>('SITE DATA'!$F$26-(0.2*G162))^2/('SITE DATA'!$F$26+(0.8*G162))</f>
        <v>0.13291139240506331</v>
      </c>
      <c r="I162" s="586">
        <f t="shared" si="7"/>
        <v>79</v>
      </c>
      <c r="J162" s="394">
        <f>('SITE DATA'!$F$27-(0.2*G162))^2/('SITE DATA'!$F$27+(0.8*G162))</f>
        <v>0.13291139240506331</v>
      </c>
      <c r="K162" s="586">
        <f t="shared" si="8"/>
        <v>79</v>
      </c>
      <c r="L162" s="394">
        <f>('SITE DATA'!$F$28-(0.2*G162))^2/('SITE DATA'!$F$28+(0.8*G162))</f>
        <v>0.13291139240506331</v>
      </c>
      <c r="M162" s="586">
        <f t="shared" si="9"/>
        <v>79</v>
      </c>
    </row>
    <row r="163" spans="2:13" ht="24" hidden="1" thickBot="1" x14ac:dyDescent="0.4">
      <c r="B163" s="540"/>
      <c r="C163" s="534" t="s">
        <v>549</v>
      </c>
      <c r="D163" s="535" t="e">
        <f>3630*1*D162*SUM(J17:K25)</f>
        <v>#DIV/0!</v>
      </c>
      <c r="E163" s="615" t="e">
        <f>D163</f>
        <v>#DIV/0!</v>
      </c>
      <c r="F163" s="507"/>
      <c r="G163" s="393">
        <f t="shared" si="6"/>
        <v>2.5</v>
      </c>
      <c r="H163" s="394">
        <f>('SITE DATA'!$F$26-(0.2*G163))^2/('SITE DATA'!$F$26+(0.8*G163))</f>
        <v>0.125</v>
      </c>
      <c r="I163" s="586">
        <f t="shared" si="7"/>
        <v>80</v>
      </c>
      <c r="J163" s="394">
        <f>('SITE DATA'!$F$27-(0.2*G163))^2/('SITE DATA'!$F$27+(0.8*G163))</f>
        <v>0.125</v>
      </c>
      <c r="K163" s="586">
        <f t="shared" si="8"/>
        <v>80</v>
      </c>
      <c r="L163" s="394">
        <f>('SITE DATA'!$F$28-(0.2*G163))^2/('SITE DATA'!$F$28+(0.8*G163))</f>
        <v>0.125</v>
      </c>
      <c r="M163" s="586">
        <f t="shared" si="9"/>
        <v>80</v>
      </c>
    </row>
    <row r="164" spans="2:13" ht="15.75" hidden="1" thickBot="1" x14ac:dyDescent="0.25">
      <c r="B164" s="541"/>
      <c r="C164" s="537"/>
      <c r="D164" s="531"/>
      <c r="E164" s="507"/>
      <c r="F164" s="507"/>
      <c r="G164" s="393">
        <f t="shared" si="6"/>
        <v>2.3456790123456788</v>
      </c>
      <c r="H164" s="394">
        <f>('SITE DATA'!$F$26-(0.2*G164))^2/('SITE DATA'!$F$26+(0.8*G164))</f>
        <v>0.11728395061728394</v>
      </c>
      <c r="I164" s="586">
        <f t="shared" si="7"/>
        <v>81</v>
      </c>
      <c r="J164" s="394">
        <f>('SITE DATA'!$F$27-(0.2*G164))^2/('SITE DATA'!$F$27+(0.8*G164))</f>
        <v>0.11728395061728394</v>
      </c>
      <c r="K164" s="586">
        <f t="shared" si="8"/>
        <v>81</v>
      </c>
      <c r="L164" s="394">
        <f>('SITE DATA'!$F$28-(0.2*G164))^2/('SITE DATA'!$F$28+(0.8*G164))</f>
        <v>0.11728395061728394</v>
      </c>
      <c r="M164" s="586">
        <f t="shared" si="9"/>
        <v>81</v>
      </c>
    </row>
    <row r="165" spans="2:13" hidden="1" x14ac:dyDescent="0.2">
      <c r="B165" s="538"/>
      <c r="C165" s="511" t="s">
        <v>543</v>
      </c>
      <c r="D165" s="613" t="e">
        <f>(SUM(L25:M25))/SUM(D17:M25)</f>
        <v>#DIV/0!</v>
      </c>
      <c r="E165" s="507"/>
      <c r="F165" s="507"/>
      <c r="G165" s="393">
        <f t="shared" si="6"/>
        <v>2.1951219512195124</v>
      </c>
      <c r="H165" s="394">
        <f>('SITE DATA'!$F$26-(0.2*G165))^2/('SITE DATA'!$F$26+(0.8*G165))</f>
        <v>0.10975609756097562</v>
      </c>
      <c r="I165" s="586">
        <f t="shared" si="7"/>
        <v>82</v>
      </c>
      <c r="J165" s="394">
        <f>('SITE DATA'!$F$27-(0.2*G165))^2/('SITE DATA'!$F$27+(0.8*G165))</f>
        <v>0.10975609756097562</v>
      </c>
      <c r="K165" s="586">
        <f t="shared" si="8"/>
        <v>82</v>
      </c>
      <c r="L165" s="394">
        <f>('SITE DATA'!$F$28-(0.2*G165))^2/('SITE DATA'!$F$28+(0.8*G165))</f>
        <v>0.10975609756097562</v>
      </c>
      <c r="M165" s="586">
        <f t="shared" si="9"/>
        <v>82</v>
      </c>
    </row>
    <row r="166" spans="2:13" ht="24" hidden="1" thickBot="1" x14ac:dyDescent="0.4">
      <c r="B166" s="540" t="s">
        <v>573</v>
      </c>
      <c r="C166" s="511" t="s">
        <v>547</v>
      </c>
      <c r="D166" s="539" t="e">
        <f>0.05+(0.9*D165)</f>
        <v>#DIV/0!</v>
      </c>
      <c r="E166" s="507"/>
      <c r="F166" s="507"/>
      <c r="G166" s="393">
        <f t="shared" si="6"/>
        <v>2.0481927710843379</v>
      </c>
      <c r="H166" s="394">
        <f>('SITE DATA'!$F$26-(0.2*G166))^2/('SITE DATA'!$F$26+(0.8*G166))</f>
        <v>0.10240963855421689</v>
      </c>
      <c r="I166" s="586">
        <f t="shared" si="7"/>
        <v>83</v>
      </c>
      <c r="J166" s="394">
        <f>('SITE DATA'!$F$27-(0.2*G166))^2/('SITE DATA'!$F$27+(0.8*G166))</f>
        <v>0.10240963855421689</v>
      </c>
      <c r="K166" s="586">
        <f t="shared" si="8"/>
        <v>83</v>
      </c>
      <c r="L166" s="394">
        <f>('SITE DATA'!$F$28-(0.2*G166))^2/('SITE DATA'!$F$28+(0.8*G166))</f>
        <v>0.10240963855421689</v>
      </c>
      <c r="M166" s="586">
        <f t="shared" si="9"/>
        <v>83</v>
      </c>
    </row>
    <row r="167" spans="2:13" ht="24" hidden="1" thickBot="1" x14ac:dyDescent="0.4">
      <c r="B167" s="540"/>
      <c r="C167" s="534" t="s">
        <v>549</v>
      </c>
      <c r="D167" s="535" t="e">
        <f>3630*1*D166*SUM(L17:M25)</f>
        <v>#DIV/0!</v>
      </c>
      <c r="E167" s="615" t="e">
        <f>D167</f>
        <v>#DIV/0!</v>
      </c>
      <c r="F167" s="507"/>
      <c r="G167" s="393">
        <f t="shared" si="6"/>
        <v>1.9047619047619051</v>
      </c>
      <c r="H167" s="394">
        <f>('SITE DATA'!$F$26-(0.2*G167))^2/('SITE DATA'!$F$26+(0.8*G167))</f>
        <v>9.5238095238095261E-2</v>
      </c>
      <c r="I167" s="586">
        <f t="shared" si="7"/>
        <v>84</v>
      </c>
      <c r="J167" s="394">
        <f>('SITE DATA'!$F$27-(0.2*G167))^2/('SITE DATA'!$F$27+(0.8*G167))</f>
        <v>9.5238095238095261E-2</v>
      </c>
      <c r="K167" s="586">
        <f t="shared" si="8"/>
        <v>84</v>
      </c>
      <c r="L167" s="394">
        <f>('SITE DATA'!$F$28-(0.2*G167))^2/('SITE DATA'!$F$28+(0.8*G167))</f>
        <v>9.5238095238095261E-2</v>
      </c>
      <c r="M167" s="586">
        <f t="shared" si="9"/>
        <v>84</v>
      </c>
    </row>
    <row r="168" spans="2:13" ht="15.75" hidden="1" thickBot="1" x14ac:dyDescent="0.25">
      <c r="B168" s="541"/>
      <c r="C168" s="537"/>
      <c r="D168" s="531"/>
      <c r="E168" s="507"/>
      <c r="F168" s="507"/>
      <c r="G168" s="393">
        <f t="shared" si="6"/>
        <v>1.764705882352942</v>
      </c>
      <c r="H168" s="394">
        <f>('SITE DATA'!$F$26-(0.2*G168))^2/('SITE DATA'!$F$26+(0.8*G168))</f>
        <v>8.8235294117647106E-2</v>
      </c>
      <c r="I168" s="586">
        <f t="shared" si="7"/>
        <v>85</v>
      </c>
      <c r="J168" s="394">
        <f>('SITE DATA'!$F$27-(0.2*G168))^2/('SITE DATA'!$F$27+(0.8*G168))</f>
        <v>8.8235294117647106E-2</v>
      </c>
      <c r="K168" s="586">
        <f t="shared" si="8"/>
        <v>85</v>
      </c>
      <c r="L168" s="394">
        <f>('SITE DATA'!$F$28-(0.2*G168))^2/('SITE DATA'!$F$28+(0.8*G168))</f>
        <v>8.8235294117647106E-2</v>
      </c>
      <c r="M168" s="586">
        <f t="shared" si="9"/>
        <v>85</v>
      </c>
    </row>
    <row r="169" spans="2:13" hidden="1" x14ac:dyDescent="0.2">
      <c r="B169" s="397"/>
      <c r="C169" s="507"/>
      <c r="D169" s="507"/>
      <c r="E169" s="507"/>
      <c r="F169" s="160"/>
      <c r="G169" s="393">
        <f t="shared" si="6"/>
        <v>1.6279069767441854</v>
      </c>
      <c r="H169" s="394">
        <f>('SITE DATA'!$F$26-(0.2*G169))^2/('SITE DATA'!$F$26+(0.8*G169))</f>
        <v>8.139534883720928E-2</v>
      </c>
      <c r="I169" s="586">
        <f t="shared" si="7"/>
        <v>86</v>
      </c>
      <c r="J169" s="394">
        <f>('SITE DATA'!$F$27-(0.2*G169))^2/('SITE DATA'!$F$27+(0.8*G169))</f>
        <v>8.139534883720928E-2</v>
      </c>
      <c r="K169" s="586">
        <f t="shared" si="8"/>
        <v>86</v>
      </c>
      <c r="L169" s="394">
        <f>('SITE DATA'!$F$28-(0.2*G169))^2/('SITE DATA'!$F$28+(0.8*G169))</f>
        <v>8.139534883720928E-2</v>
      </c>
      <c r="M169" s="586">
        <f t="shared" si="9"/>
        <v>86</v>
      </c>
    </row>
    <row r="170" spans="2:13" hidden="1" x14ac:dyDescent="0.2">
      <c r="B170" s="397"/>
      <c r="C170" s="507"/>
      <c r="D170" s="507"/>
      <c r="E170" s="507"/>
      <c r="F170" s="507"/>
      <c r="G170" s="393">
        <f t="shared" si="6"/>
        <v>1.4942528735632177</v>
      </c>
      <c r="H170" s="394">
        <f>('SITE DATA'!$F$26-(0.2*G170))^2/('SITE DATA'!$F$26+(0.8*G170))</f>
        <v>7.4712643678160884E-2</v>
      </c>
      <c r="I170" s="586">
        <f t="shared" si="7"/>
        <v>87</v>
      </c>
      <c r="J170" s="394">
        <f>('SITE DATA'!$F$27-(0.2*G170))^2/('SITE DATA'!$F$27+(0.8*G170))</f>
        <v>7.4712643678160884E-2</v>
      </c>
      <c r="K170" s="586">
        <f t="shared" si="8"/>
        <v>87</v>
      </c>
      <c r="L170" s="394">
        <f>('SITE DATA'!$F$28-(0.2*G170))^2/('SITE DATA'!$F$28+(0.8*G170))</f>
        <v>7.4712643678160884E-2</v>
      </c>
      <c r="M170" s="586">
        <f t="shared" si="9"/>
        <v>87</v>
      </c>
    </row>
    <row r="171" spans="2:13" hidden="1" x14ac:dyDescent="0.2">
      <c r="B171" s="397"/>
      <c r="C171" s="507"/>
      <c r="D171" s="507"/>
      <c r="E171" s="507"/>
      <c r="F171" s="507"/>
      <c r="G171" s="393">
        <f t="shared" si="6"/>
        <v>1.3636363636363633</v>
      </c>
      <c r="H171" s="394">
        <f>('SITE DATA'!$F$26-(0.2*G171))^2/('SITE DATA'!$F$26+(0.8*G171))</f>
        <v>6.8181818181818163E-2</v>
      </c>
      <c r="I171" s="586">
        <f t="shared" si="7"/>
        <v>88</v>
      </c>
      <c r="J171" s="394">
        <f>('SITE DATA'!$F$27-(0.2*G171))^2/('SITE DATA'!$F$27+(0.8*G171))</f>
        <v>6.8181818181818163E-2</v>
      </c>
      <c r="K171" s="586">
        <f t="shared" si="8"/>
        <v>88</v>
      </c>
      <c r="L171" s="394">
        <f>('SITE DATA'!$F$28-(0.2*G171))^2/('SITE DATA'!$F$28+(0.8*G171))</f>
        <v>6.8181818181818163E-2</v>
      </c>
      <c r="M171" s="586">
        <f t="shared" si="9"/>
        <v>88</v>
      </c>
    </row>
    <row r="172" spans="2:13" hidden="1" x14ac:dyDescent="0.2">
      <c r="B172" s="397"/>
      <c r="C172" s="507"/>
      <c r="D172" s="507"/>
      <c r="E172" s="507"/>
      <c r="F172" s="507"/>
      <c r="G172" s="393">
        <f t="shared" si="6"/>
        <v>1.2359550561797761</v>
      </c>
      <c r="H172" s="394">
        <f>('SITE DATA'!$F$26-(0.2*G172))^2/('SITE DATA'!$F$26+(0.8*G172))</f>
        <v>6.1797752808988804E-2</v>
      </c>
      <c r="I172" s="586">
        <f t="shared" si="7"/>
        <v>89</v>
      </c>
      <c r="J172" s="394">
        <f>('SITE DATA'!$F$27-(0.2*G172))^2/('SITE DATA'!$F$27+(0.8*G172))</f>
        <v>6.1797752808988804E-2</v>
      </c>
      <c r="K172" s="586">
        <f t="shared" si="8"/>
        <v>89</v>
      </c>
      <c r="L172" s="394">
        <f>('SITE DATA'!$F$28-(0.2*G172))^2/('SITE DATA'!$F$28+(0.8*G172))</f>
        <v>6.1797752808988804E-2</v>
      </c>
      <c r="M172" s="586">
        <f t="shared" si="9"/>
        <v>89</v>
      </c>
    </row>
    <row r="173" spans="2:13" hidden="1" x14ac:dyDescent="0.2">
      <c r="B173" s="397"/>
      <c r="C173" s="507"/>
      <c r="D173" s="507"/>
      <c r="E173" s="507"/>
      <c r="F173" s="507"/>
      <c r="G173" s="393">
        <f t="shared" si="6"/>
        <v>1.1111111111111107</v>
      </c>
      <c r="H173" s="394">
        <f>('SITE DATA'!$F$26-(0.2*G173))^2/('SITE DATA'!$F$26+(0.8*G173))</f>
        <v>5.5555555555555539E-2</v>
      </c>
      <c r="I173" s="586">
        <f t="shared" si="7"/>
        <v>90</v>
      </c>
      <c r="J173" s="394">
        <f>('SITE DATA'!$F$27-(0.2*G173))^2/('SITE DATA'!$F$27+(0.8*G173))</f>
        <v>5.5555555555555539E-2</v>
      </c>
      <c r="K173" s="586">
        <f t="shared" si="8"/>
        <v>90</v>
      </c>
      <c r="L173" s="394">
        <f>('SITE DATA'!$F$28-(0.2*G173))^2/('SITE DATA'!$F$28+(0.8*G173))</f>
        <v>5.5555555555555539E-2</v>
      </c>
      <c r="M173" s="586">
        <f t="shared" si="9"/>
        <v>90</v>
      </c>
    </row>
    <row r="174" spans="2:13" hidden="1" x14ac:dyDescent="0.2">
      <c r="B174" s="397"/>
      <c r="C174" s="507"/>
      <c r="D174" s="507"/>
      <c r="E174" s="507"/>
      <c r="F174" s="507"/>
      <c r="G174" s="393">
        <f t="shared" si="6"/>
        <v>0.98901098901098905</v>
      </c>
      <c r="H174" s="394">
        <f>('SITE DATA'!$F$26-(0.2*G174))^2/('SITE DATA'!$F$26+(0.8*G174))</f>
        <v>4.9450549450549455E-2</v>
      </c>
      <c r="I174" s="586">
        <f t="shared" si="7"/>
        <v>91</v>
      </c>
      <c r="J174" s="394">
        <f>('SITE DATA'!$F$27-(0.2*G174))^2/('SITE DATA'!$F$27+(0.8*G174))</f>
        <v>4.9450549450549455E-2</v>
      </c>
      <c r="K174" s="586">
        <f t="shared" si="8"/>
        <v>91</v>
      </c>
      <c r="L174" s="394">
        <f>('SITE DATA'!$F$28-(0.2*G174))^2/('SITE DATA'!$F$28+(0.8*G174))</f>
        <v>4.9450549450549455E-2</v>
      </c>
      <c r="M174" s="586">
        <f t="shared" si="9"/>
        <v>91</v>
      </c>
    </row>
    <row r="175" spans="2:13" hidden="1" x14ac:dyDescent="0.2">
      <c r="B175" s="397"/>
      <c r="C175" s="507"/>
      <c r="D175" s="507"/>
      <c r="E175" s="507"/>
      <c r="F175" s="507"/>
      <c r="G175" s="393">
        <f t="shared" si="6"/>
        <v>0.86956521739130466</v>
      </c>
      <c r="H175" s="394">
        <f>('SITE DATA'!$F$26-(0.2*G175))^2/('SITE DATA'!$F$26+(0.8*G175))</f>
        <v>4.3478260869565237E-2</v>
      </c>
      <c r="I175" s="586">
        <f t="shared" si="7"/>
        <v>92</v>
      </c>
      <c r="J175" s="394">
        <f>('SITE DATA'!$F$27-(0.2*G175))^2/('SITE DATA'!$F$27+(0.8*G175))</f>
        <v>4.3478260869565237E-2</v>
      </c>
      <c r="K175" s="586">
        <f t="shared" si="8"/>
        <v>92</v>
      </c>
      <c r="L175" s="394">
        <f>('SITE DATA'!$F$28-(0.2*G175))^2/('SITE DATA'!$F$28+(0.8*G175))</f>
        <v>4.3478260869565237E-2</v>
      </c>
      <c r="M175" s="586">
        <f t="shared" si="9"/>
        <v>92</v>
      </c>
    </row>
    <row r="176" spans="2:13" hidden="1" x14ac:dyDescent="0.2">
      <c r="B176" s="397"/>
      <c r="C176" s="507"/>
      <c r="D176" s="507"/>
      <c r="E176" s="507"/>
      <c r="F176" s="507"/>
      <c r="G176" s="393">
        <f t="shared" si="6"/>
        <v>0.75268817204301008</v>
      </c>
      <c r="H176" s="394">
        <f>('SITE DATA'!$F$26-(0.2*G176))^2/('SITE DATA'!$F$26+(0.8*G176))</f>
        <v>3.7634408602150504E-2</v>
      </c>
      <c r="I176" s="586">
        <f t="shared" si="7"/>
        <v>93</v>
      </c>
      <c r="J176" s="394">
        <f>('SITE DATA'!$F$27-(0.2*G176))^2/('SITE DATA'!$F$27+(0.8*G176))</f>
        <v>3.7634408602150504E-2</v>
      </c>
      <c r="K176" s="586">
        <f t="shared" si="8"/>
        <v>93</v>
      </c>
      <c r="L176" s="394">
        <f>('SITE DATA'!$F$28-(0.2*G176))^2/('SITE DATA'!$F$28+(0.8*G176))</f>
        <v>3.7634408602150504E-2</v>
      </c>
      <c r="M176" s="586">
        <f t="shared" si="9"/>
        <v>93</v>
      </c>
    </row>
    <row r="177" spans="2:14" hidden="1" x14ac:dyDescent="0.2">
      <c r="B177" s="397"/>
      <c r="C177" s="507"/>
      <c r="D177" s="507"/>
      <c r="E177" s="507"/>
      <c r="F177" s="507"/>
      <c r="G177" s="393">
        <f t="shared" si="6"/>
        <v>0.63829787234042534</v>
      </c>
      <c r="H177" s="394">
        <f>('SITE DATA'!$F$26-(0.2*G177))^2/('SITE DATA'!$F$26+(0.8*G177))</f>
        <v>3.1914893617021267E-2</v>
      </c>
      <c r="I177" s="586">
        <f t="shared" si="7"/>
        <v>94</v>
      </c>
      <c r="J177" s="394">
        <f>('SITE DATA'!$F$27-(0.2*G177))^2/('SITE DATA'!$F$27+(0.8*G177))</f>
        <v>3.1914893617021267E-2</v>
      </c>
      <c r="K177" s="586">
        <f t="shared" si="8"/>
        <v>94</v>
      </c>
      <c r="L177" s="394">
        <f>('SITE DATA'!$F$28-(0.2*G177))^2/('SITE DATA'!$F$28+(0.8*G177))</f>
        <v>3.1914893617021267E-2</v>
      </c>
      <c r="M177" s="586">
        <f t="shared" si="9"/>
        <v>94</v>
      </c>
    </row>
    <row r="178" spans="2:14" hidden="1" x14ac:dyDescent="0.2">
      <c r="B178" s="397"/>
      <c r="C178" s="507"/>
      <c r="D178" s="507"/>
      <c r="E178" s="507"/>
      <c r="F178" s="507"/>
      <c r="G178" s="393">
        <f t="shared" si="6"/>
        <v>0.52631578947368496</v>
      </c>
      <c r="H178" s="394">
        <f>('SITE DATA'!$F$26-(0.2*G178))^2/('SITE DATA'!$F$26+(0.8*G178))</f>
        <v>2.6315789473684247E-2</v>
      </c>
      <c r="I178" s="586">
        <f t="shared" si="7"/>
        <v>95</v>
      </c>
      <c r="J178" s="394">
        <f>('SITE DATA'!$F$27-(0.2*G178))^2/('SITE DATA'!$F$27+(0.8*G178))</f>
        <v>2.6315789473684247E-2</v>
      </c>
      <c r="K178" s="586">
        <f t="shared" si="8"/>
        <v>95</v>
      </c>
      <c r="L178" s="394">
        <f>('SITE DATA'!$F$28-(0.2*G178))^2/('SITE DATA'!$F$28+(0.8*G178))</f>
        <v>2.6315789473684247E-2</v>
      </c>
      <c r="M178" s="586">
        <f t="shared" si="9"/>
        <v>95</v>
      </c>
    </row>
    <row r="179" spans="2:14" hidden="1" x14ac:dyDescent="0.2">
      <c r="B179" s="397"/>
      <c r="C179" s="507"/>
      <c r="D179" s="507"/>
      <c r="E179" s="507"/>
      <c r="F179" s="507"/>
      <c r="G179" s="393">
        <f t="shared" si="6"/>
        <v>0.41666666666666607</v>
      </c>
      <c r="H179" s="394">
        <f>('SITE DATA'!$F$26-(0.2*G179))^2/('SITE DATA'!$F$26+(0.8*G179))</f>
        <v>2.0833333333333304E-2</v>
      </c>
      <c r="I179" s="586">
        <f t="shared" si="7"/>
        <v>96</v>
      </c>
      <c r="J179" s="394">
        <f>('SITE DATA'!$F$27-(0.2*G179))^2/('SITE DATA'!$F$27+(0.8*G179))</f>
        <v>2.0833333333333304E-2</v>
      </c>
      <c r="K179" s="586">
        <f t="shared" si="8"/>
        <v>96</v>
      </c>
      <c r="L179" s="394">
        <f>('SITE DATA'!$F$28-(0.2*G179))^2/('SITE DATA'!$F$28+(0.8*G179))</f>
        <v>2.0833333333333304E-2</v>
      </c>
      <c r="M179" s="586">
        <f t="shared" si="9"/>
        <v>96</v>
      </c>
    </row>
    <row r="180" spans="2:14" hidden="1" x14ac:dyDescent="0.2">
      <c r="B180" s="397"/>
      <c r="C180" s="507"/>
      <c r="D180" s="507"/>
      <c r="E180" s="507"/>
      <c r="F180" s="507"/>
      <c r="G180" s="393">
        <f t="shared" si="6"/>
        <v>0.3092783505154646</v>
      </c>
      <c r="H180" s="394">
        <f>('SITE DATA'!$F$26-(0.2*G180))^2/('SITE DATA'!$F$26+(0.8*G180))</f>
        <v>1.5463917525773231E-2</v>
      </c>
      <c r="I180" s="586">
        <f t="shared" si="7"/>
        <v>97</v>
      </c>
      <c r="J180" s="394">
        <f>('SITE DATA'!$F$27-(0.2*G180))^2/('SITE DATA'!$F$27+(0.8*G180))</f>
        <v>1.5463917525773231E-2</v>
      </c>
      <c r="K180" s="586">
        <f t="shared" si="8"/>
        <v>97</v>
      </c>
      <c r="L180" s="394">
        <f>('SITE DATA'!$F$28-(0.2*G180))^2/('SITE DATA'!$F$28+(0.8*G180))</f>
        <v>1.5463917525773231E-2</v>
      </c>
      <c r="M180" s="586">
        <f t="shared" si="9"/>
        <v>97</v>
      </c>
    </row>
    <row r="181" spans="2:14" hidden="1" x14ac:dyDescent="0.2">
      <c r="B181" s="397"/>
      <c r="C181" s="507"/>
      <c r="D181" s="507"/>
      <c r="E181" s="507"/>
      <c r="F181" s="507"/>
      <c r="G181" s="393">
        <f t="shared" si="6"/>
        <v>0.20408163265306101</v>
      </c>
      <c r="H181" s="394">
        <f>('SITE DATA'!$F$26-(0.2*G181))^2/('SITE DATA'!$F$26+(0.8*G181))</f>
        <v>1.0204081632653052E-2</v>
      </c>
      <c r="I181" s="586">
        <f t="shared" si="7"/>
        <v>98</v>
      </c>
      <c r="J181" s="394">
        <f>('SITE DATA'!$F$27-(0.2*G181))^2/('SITE DATA'!$F$27+(0.8*G181))</f>
        <v>1.0204081632653052E-2</v>
      </c>
      <c r="K181" s="586">
        <f t="shared" si="8"/>
        <v>98</v>
      </c>
      <c r="L181" s="394">
        <f>('SITE DATA'!$F$28-(0.2*G181))^2/('SITE DATA'!$F$28+(0.8*G181))</f>
        <v>1.0204081632653052E-2</v>
      </c>
      <c r="M181" s="586">
        <f t="shared" si="9"/>
        <v>98</v>
      </c>
    </row>
    <row r="182" spans="2:14" hidden="1" x14ac:dyDescent="0.2">
      <c r="B182" s="397"/>
      <c r="C182" s="507"/>
      <c r="D182" s="507"/>
      <c r="E182" s="507"/>
      <c r="F182" s="507"/>
      <c r="G182" s="507"/>
      <c r="H182" s="507"/>
      <c r="I182" s="507"/>
      <c r="J182" s="507"/>
      <c r="K182" s="573"/>
      <c r="L182" s="507"/>
      <c r="M182" s="507"/>
      <c r="N182" s="507"/>
    </row>
    <row r="183" spans="2:14" hidden="1" x14ac:dyDescent="0.2">
      <c r="B183" s="397"/>
      <c r="C183" s="507"/>
      <c r="D183" s="507"/>
      <c r="E183" s="507"/>
      <c r="F183" s="507"/>
      <c r="G183" s="507"/>
      <c r="H183" s="507"/>
      <c r="I183" s="507"/>
      <c r="J183" s="507"/>
      <c r="K183" s="573"/>
      <c r="L183" s="507"/>
      <c r="M183" s="507"/>
      <c r="N183" s="507"/>
    </row>
    <row r="184" spans="2:14" hidden="1" x14ac:dyDescent="0.2">
      <c r="B184" s="397"/>
      <c r="C184" s="507"/>
      <c r="D184" s="507"/>
      <c r="E184" s="507"/>
      <c r="F184" s="507"/>
      <c r="G184" s="507"/>
      <c r="H184" s="507"/>
      <c r="I184" s="507"/>
      <c r="J184" s="507"/>
      <c r="K184" s="573"/>
      <c r="L184" s="507"/>
      <c r="M184" s="507"/>
      <c r="N184" s="507"/>
    </row>
    <row r="185" spans="2:14" hidden="1" x14ac:dyDescent="0.2">
      <c r="B185" s="397"/>
      <c r="C185" s="507"/>
      <c r="D185" s="507"/>
      <c r="E185" s="507"/>
      <c r="F185" s="507"/>
      <c r="G185" s="507"/>
      <c r="H185" s="507"/>
      <c r="I185" s="507"/>
      <c r="J185" s="507"/>
      <c r="K185" s="573"/>
      <c r="L185" s="507"/>
      <c r="M185" s="507"/>
      <c r="N185" s="507"/>
    </row>
    <row r="186" spans="2:14" hidden="1" x14ac:dyDescent="0.2">
      <c r="B186" s="397"/>
      <c r="C186" s="507"/>
      <c r="D186" s="507"/>
      <c r="E186" s="507"/>
      <c r="F186" s="507"/>
      <c r="G186" s="507"/>
      <c r="H186" s="507"/>
      <c r="I186" s="507"/>
      <c r="J186" s="507"/>
      <c r="K186" s="573"/>
      <c r="L186" s="507"/>
      <c r="M186" s="507"/>
      <c r="N186" s="507"/>
    </row>
    <row r="187" spans="2:14" hidden="1" x14ac:dyDescent="0.2">
      <c r="B187" s="397"/>
      <c r="C187" s="507"/>
      <c r="D187" s="507"/>
      <c r="E187" s="507"/>
      <c r="F187" s="507"/>
      <c r="G187" s="507"/>
      <c r="H187" s="507"/>
      <c r="I187" s="507"/>
      <c r="J187" s="507"/>
      <c r="K187" s="573"/>
      <c r="L187" s="507"/>
      <c r="M187" s="507"/>
      <c r="N187" s="507"/>
    </row>
    <row r="188" spans="2:14" hidden="1" x14ac:dyDescent="0.2">
      <c r="B188" s="397"/>
      <c r="C188" s="507"/>
      <c r="D188" s="507"/>
      <c r="E188" s="507"/>
      <c r="F188" s="507"/>
      <c r="G188" s="507"/>
      <c r="H188" s="507"/>
      <c r="I188" s="507"/>
      <c r="J188" s="507"/>
      <c r="K188" s="573"/>
      <c r="L188" s="507"/>
      <c r="M188" s="507"/>
      <c r="N188" s="507"/>
    </row>
    <row r="189" spans="2:14" hidden="1" x14ac:dyDescent="0.2">
      <c r="B189" s="397"/>
      <c r="C189" s="507"/>
      <c r="D189" s="507"/>
      <c r="E189" s="507"/>
      <c r="F189" s="507"/>
      <c r="G189" s="507"/>
      <c r="H189" s="507"/>
      <c r="I189" s="507"/>
      <c r="J189" s="507"/>
      <c r="K189" s="573"/>
      <c r="L189" s="507"/>
      <c r="M189" s="507"/>
      <c r="N189" s="507"/>
    </row>
    <row r="190" spans="2:14" hidden="1" x14ac:dyDescent="0.2">
      <c r="B190" s="397"/>
      <c r="C190" s="507"/>
      <c r="D190" s="507"/>
      <c r="E190" s="507"/>
      <c r="F190" s="507"/>
      <c r="G190" s="507"/>
      <c r="H190" s="507"/>
      <c r="I190" s="507"/>
      <c r="J190" s="507"/>
      <c r="K190" s="573"/>
      <c r="L190" s="507"/>
      <c r="M190" s="507"/>
      <c r="N190" s="507"/>
    </row>
    <row r="191" spans="2:14" hidden="1" x14ac:dyDescent="0.2">
      <c r="B191" s="397"/>
      <c r="C191" s="507"/>
      <c r="D191" s="507"/>
      <c r="E191" s="507"/>
      <c r="F191" s="507"/>
      <c r="G191" s="507"/>
      <c r="H191" s="507"/>
      <c r="I191" s="507"/>
      <c r="J191" s="507"/>
      <c r="K191" s="573"/>
      <c r="L191" s="507"/>
      <c r="M191" s="507"/>
      <c r="N191" s="507"/>
    </row>
    <row r="192" spans="2:14" hidden="1" x14ac:dyDescent="0.2">
      <c r="B192" s="397"/>
      <c r="C192" s="507"/>
      <c r="D192" s="507"/>
      <c r="E192" s="507"/>
      <c r="F192" s="507"/>
      <c r="G192" s="507"/>
      <c r="H192" s="507"/>
      <c r="I192" s="507"/>
      <c r="J192" s="507"/>
      <c r="K192" s="573"/>
      <c r="L192" s="507"/>
      <c r="M192" s="507"/>
      <c r="N192" s="507"/>
    </row>
    <row r="193" spans="1:27" hidden="1" x14ac:dyDescent="0.2">
      <c r="B193" s="397"/>
      <c r="C193" s="507"/>
      <c r="D193" s="507"/>
      <c r="E193" s="507"/>
      <c r="F193" s="507"/>
      <c r="G193" s="507"/>
      <c r="H193" s="507"/>
      <c r="I193" s="507"/>
      <c r="J193" s="507"/>
      <c r="K193" s="573"/>
      <c r="L193" s="507"/>
      <c r="M193" s="507"/>
      <c r="N193" s="507"/>
    </row>
    <row r="194" spans="1:27" hidden="1" x14ac:dyDescent="0.2">
      <c r="B194" s="397"/>
      <c r="C194" s="507"/>
      <c r="D194" s="507"/>
      <c r="E194" s="507"/>
      <c r="F194" s="507"/>
      <c r="G194" s="507"/>
      <c r="H194" s="507"/>
      <c r="I194" s="507"/>
      <c r="J194" s="507"/>
      <c r="K194" s="573"/>
      <c r="L194" s="507"/>
      <c r="M194" s="507"/>
      <c r="N194" s="507"/>
    </row>
    <row r="195" spans="1:27" hidden="1" x14ac:dyDescent="0.2">
      <c r="B195" s="397"/>
      <c r="C195" s="507"/>
      <c r="D195" s="507"/>
      <c r="E195" s="507"/>
      <c r="F195" s="507"/>
      <c r="G195" s="507"/>
      <c r="H195" s="507"/>
      <c r="I195" s="507"/>
      <c r="J195" s="507"/>
      <c r="K195" s="573"/>
      <c r="L195" s="507"/>
      <c r="M195" s="507"/>
      <c r="N195" s="507"/>
    </row>
    <row r="196" spans="1:27" hidden="1" x14ac:dyDescent="0.2">
      <c r="B196" s="397"/>
      <c r="C196" s="507"/>
      <c r="D196" s="507"/>
      <c r="E196" s="507"/>
      <c r="F196" s="507"/>
      <c r="G196" s="507"/>
      <c r="H196" s="507"/>
      <c r="I196" s="507"/>
      <c r="J196" s="507"/>
      <c r="K196" s="573"/>
      <c r="L196" s="507"/>
      <c r="M196" s="507"/>
      <c r="N196" s="507"/>
    </row>
    <row r="197" spans="1:27" hidden="1" x14ac:dyDescent="0.2">
      <c r="B197" s="507"/>
      <c r="C197" s="507"/>
      <c r="D197" s="507"/>
      <c r="E197" s="507"/>
      <c r="F197" s="507"/>
      <c r="G197" s="507"/>
      <c r="H197" s="507"/>
      <c r="I197" s="507"/>
      <c r="J197" s="507"/>
      <c r="K197" s="573"/>
      <c r="L197" s="507"/>
      <c r="M197" s="507"/>
      <c r="N197" s="507"/>
    </row>
    <row r="198" spans="1:27" hidden="1" x14ac:dyDescent="0.2">
      <c r="B198" s="507"/>
      <c r="C198" s="507"/>
      <c r="D198" s="507"/>
      <c r="E198" s="507"/>
      <c r="F198" s="507"/>
      <c r="G198" s="507"/>
      <c r="H198" s="507"/>
      <c r="I198" s="507"/>
      <c r="J198" s="507"/>
      <c r="K198" s="573"/>
      <c r="L198" s="507"/>
      <c r="M198" s="507"/>
      <c r="N198" s="507"/>
    </row>
    <row r="199" spans="1:27" hidden="1" x14ac:dyDescent="0.2">
      <c r="B199" s="507"/>
      <c r="C199" s="507"/>
      <c r="D199" s="507"/>
      <c r="E199" s="507"/>
      <c r="F199" s="507"/>
      <c r="G199" s="507"/>
      <c r="H199" s="507"/>
      <c r="I199" s="507"/>
      <c r="J199" s="507"/>
      <c r="K199" s="573"/>
      <c r="L199" s="507"/>
      <c r="M199" s="507"/>
      <c r="N199" s="507"/>
    </row>
    <row r="200" spans="1:27" hidden="1" x14ac:dyDescent="0.2">
      <c r="B200" s="507"/>
      <c r="C200" s="507"/>
      <c r="D200" s="507"/>
      <c r="E200" s="507"/>
      <c r="F200" s="507"/>
      <c r="G200" s="507"/>
      <c r="H200" s="507"/>
      <c r="I200" s="507"/>
      <c r="J200" s="507"/>
      <c r="K200" s="573"/>
      <c r="L200" s="507"/>
      <c r="M200" s="507"/>
      <c r="N200" s="507"/>
    </row>
    <row r="201" spans="1:27" hidden="1" x14ac:dyDescent="0.2">
      <c r="B201" s="507"/>
      <c r="C201" s="507"/>
      <c r="D201" s="507"/>
      <c r="E201" s="507"/>
      <c r="F201" s="507"/>
      <c r="G201" s="507"/>
      <c r="H201" s="507"/>
      <c r="I201" s="507"/>
      <c r="J201" s="507"/>
      <c r="K201" s="573"/>
      <c r="L201" s="507"/>
      <c r="M201" s="507"/>
      <c r="N201" s="507"/>
    </row>
    <row r="202" spans="1:27" hidden="1" x14ac:dyDescent="0.2">
      <c r="B202" s="507"/>
      <c r="C202" s="507"/>
      <c r="D202" s="507"/>
      <c r="E202" s="507"/>
      <c r="F202" s="507"/>
      <c r="G202" s="507"/>
      <c r="H202" s="507"/>
      <c r="I202" s="507"/>
      <c r="J202" s="507"/>
      <c r="K202" s="573"/>
      <c r="L202" s="507"/>
      <c r="M202" s="507"/>
      <c r="N202" s="507"/>
    </row>
    <row r="203" spans="1:27" hidden="1" x14ac:dyDescent="0.2">
      <c r="B203" s="507"/>
      <c r="C203" s="507"/>
      <c r="D203" s="507"/>
      <c r="E203" s="507"/>
      <c r="F203" s="507"/>
      <c r="G203" s="507"/>
      <c r="H203" s="507"/>
      <c r="I203" s="507"/>
      <c r="J203" s="507"/>
      <c r="K203" s="573"/>
      <c r="L203" s="507"/>
      <c r="M203" s="507"/>
      <c r="N203" s="507"/>
    </row>
    <row r="204" spans="1:27" hidden="1" x14ac:dyDescent="0.2">
      <c r="B204" s="507"/>
      <c r="C204" s="507"/>
      <c r="D204" s="507"/>
      <c r="E204" s="507"/>
      <c r="F204" s="507"/>
      <c r="G204" s="507"/>
      <c r="H204" s="507"/>
      <c r="I204" s="507"/>
      <c r="J204" s="507"/>
      <c r="K204" s="573"/>
      <c r="L204" s="507"/>
      <c r="M204" s="507"/>
      <c r="N204" s="507"/>
    </row>
    <row r="205" spans="1:27" hidden="1" x14ac:dyDescent="0.2">
      <c r="B205" s="507"/>
      <c r="C205" s="507"/>
      <c r="D205" s="507"/>
      <c r="E205" s="507"/>
      <c r="F205" s="507"/>
      <c r="G205" s="507"/>
      <c r="H205" s="507"/>
      <c r="I205" s="507"/>
      <c r="J205" s="507"/>
      <c r="K205" s="573"/>
      <c r="L205" s="507"/>
      <c r="M205" s="507"/>
      <c r="N205" s="507"/>
    </row>
    <row r="206" spans="1:27" ht="15.75" hidden="1" x14ac:dyDescent="0.2">
      <c r="B206" s="576"/>
      <c r="C206" s="576"/>
      <c r="D206" s="576"/>
      <c r="E206" s="576"/>
      <c r="F206" s="577"/>
      <c r="G206" s="577"/>
      <c r="H206" s="577"/>
      <c r="I206" s="577"/>
      <c r="J206" s="577"/>
      <c r="K206" s="577"/>
      <c r="L206" s="577"/>
      <c r="M206" s="577"/>
      <c r="N206" s="507"/>
      <c r="Z206" s="507"/>
      <c r="AA206" s="507"/>
    </row>
    <row r="207" spans="1:27" s="523" customFormat="1" x14ac:dyDescent="0.2">
      <c r="A207" s="737" t="s">
        <v>449</v>
      </c>
      <c r="B207" s="737"/>
      <c r="C207" s="737"/>
      <c r="D207" s="737"/>
      <c r="E207" s="737"/>
      <c r="F207" s="737"/>
      <c r="G207" s="737"/>
      <c r="H207" s="737"/>
      <c r="I207" s="737"/>
      <c r="J207" s="737"/>
      <c r="K207" s="737"/>
      <c r="L207" s="737"/>
      <c r="M207" s="507"/>
    </row>
    <row r="208" spans="1:27" x14ac:dyDescent="0.2">
      <c r="A208" s="737"/>
      <c r="B208" s="737"/>
      <c r="C208" s="737"/>
      <c r="D208" s="737"/>
      <c r="E208" s="737"/>
      <c r="F208" s="737"/>
      <c r="G208" s="737"/>
      <c r="H208" s="737"/>
      <c r="I208" s="737"/>
      <c r="J208" s="737"/>
      <c r="K208" s="737"/>
      <c r="L208" s="737"/>
      <c r="M208" s="507"/>
      <c r="N208" s="507"/>
      <c r="Z208" s="507"/>
    </row>
    <row r="209" spans="1:26" ht="15.75" x14ac:dyDescent="0.2">
      <c r="A209" s="738" t="s">
        <v>436</v>
      </c>
      <c r="B209" s="738"/>
      <c r="C209" s="738"/>
      <c r="D209" s="738"/>
      <c r="E209" s="738"/>
      <c r="F209" s="738"/>
      <c r="G209" s="738"/>
      <c r="H209" s="738"/>
      <c r="I209" s="738"/>
      <c r="J209" s="738"/>
      <c r="K209" s="738"/>
      <c r="L209" s="738"/>
      <c r="M209" s="507"/>
      <c r="N209" s="507"/>
      <c r="Z209" s="507"/>
    </row>
    <row r="210" spans="1:26" x14ac:dyDescent="0.2">
      <c r="A210" s="737" t="s">
        <v>450</v>
      </c>
      <c r="B210" s="737"/>
      <c r="C210" s="737"/>
      <c r="D210" s="737"/>
      <c r="E210" s="737"/>
      <c r="F210" s="737"/>
      <c r="G210" s="737"/>
      <c r="H210" s="737"/>
      <c r="I210" s="737"/>
      <c r="J210" s="737"/>
      <c r="K210" s="737"/>
      <c r="L210" s="737"/>
      <c r="M210" s="507"/>
      <c r="N210" s="507"/>
      <c r="Z210" s="507"/>
    </row>
    <row r="211" spans="1:26" x14ac:dyDescent="0.2">
      <c r="A211" s="737"/>
      <c r="B211" s="737"/>
      <c r="C211" s="737"/>
      <c r="D211" s="737"/>
      <c r="E211" s="737"/>
      <c r="F211" s="737"/>
      <c r="G211" s="737"/>
      <c r="H211" s="737"/>
      <c r="I211" s="737"/>
      <c r="J211" s="737"/>
      <c r="K211" s="737"/>
      <c r="L211" s="737"/>
      <c r="M211" s="507"/>
      <c r="N211" s="507"/>
      <c r="Z211" s="507"/>
    </row>
    <row r="212" spans="1:26" ht="15.75" x14ac:dyDescent="0.2">
      <c r="A212" s="738" t="s">
        <v>436</v>
      </c>
      <c r="B212" s="738"/>
      <c r="C212" s="738"/>
      <c r="D212" s="738"/>
      <c r="E212" s="738"/>
      <c r="F212" s="738"/>
      <c r="G212" s="738"/>
      <c r="H212" s="738"/>
      <c r="I212" s="738"/>
      <c r="J212" s="738"/>
      <c r="K212" s="738"/>
      <c r="L212" s="738"/>
      <c r="M212" s="507"/>
      <c r="N212" s="507"/>
      <c r="Z212" s="507"/>
    </row>
    <row r="213" spans="1:26" x14ac:dyDescent="0.2">
      <c r="A213" s="737" t="s">
        <v>451</v>
      </c>
      <c r="B213" s="737"/>
      <c r="C213" s="737"/>
      <c r="D213" s="737"/>
      <c r="E213" s="737"/>
      <c r="F213" s="737"/>
      <c r="G213" s="737"/>
      <c r="H213" s="737"/>
      <c r="I213" s="737"/>
      <c r="J213" s="737"/>
      <c r="K213" s="737"/>
      <c r="L213" s="737"/>
      <c r="M213" s="507"/>
      <c r="N213" s="507"/>
      <c r="Z213" s="507"/>
    </row>
    <row r="214" spans="1:26" x14ac:dyDescent="0.2">
      <c r="A214" s="737"/>
      <c r="B214" s="737"/>
      <c r="C214" s="737"/>
      <c r="D214" s="737"/>
      <c r="E214" s="737"/>
      <c r="F214" s="737"/>
      <c r="G214" s="737"/>
      <c r="H214" s="737"/>
      <c r="I214" s="737"/>
      <c r="J214" s="737"/>
      <c r="K214" s="737"/>
      <c r="L214" s="737"/>
      <c r="M214" s="507"/>
      <c r="N214" s="507"/>
      <c r="Z214" s="507"/>
    </row>
    <row r="215" spans="1:26" x14ac:dyDescent="0.2">
      <c r="B215" s="507"/>
      <c r="C215" s="507"/>
      <c r="D215" s="507"/>
      <c r="E215" s="507"/>
      <c r="F215" s="507"/>
      <c r="G215" s="507"/>
      <c r="H215" s="507"/>
      <c r="I215" s="507"/>
      <c r="J215" s="507"/>
      <c r="K215" s="573"/>
      <c r="L215" s="507"/>
      <c r="M215" s="507"/>
      <c r="N215" s="507"/>
    </row>
    <row r="216" spans="1:26" x14ac:dyDescent="0.2">
      <c r="B216" s="507"/>
      <c r="C216" s="507"/>
      <c r="D216" s="507"/>
      <c r="E216" s="507"/>
      <c r="F216" s="507"/>
      <c r="G216" s="507"/>
      <c r="H216" s="507"/>
      <c r="I216" s="507"/>
      <c r="J216" s="507"/>
      <c r="K216" s="573"/>
      <c r="L216" s="507"/>
      <c r="M216" s="507"/>
      <c r="N216" s="507"/>
    </row>
    <row r="217" spans="1:26" x14ac:dyDescent="0.2">
      <c r="B217" s="507"/>
      <c r="C217" s="507"/>
      <c r="D217" s="507"/>
      <c r="E217" s="507"/>
      <c r="F217" s="507"/>
      <c r="G217" s="507"/>
      <c r="H217" s="507"/>
      <c r="I217" s="507"/>
      <c r="J217" s="507"/>
      <c r="K217" s="573"/>
      <c r="L217" s="507"/>
      <c r="M217" s="507"/>
      <c r="N217" s="507"/>
    </row>
    <row r="218" spans="1:26" x14ac:dyDescent="0.2">
      <c r="B218" s="507"/>
      <c r="C218" s="507"/>
      <c r="D218" s="507"/>
      <c r="E218" s="507"/>
      <c r="F218" s="507"/>
      <c r="G218" s="507"/>
      <c r="H218" s="507"/>
      <c r="I218" s="507"/>
      <c r="J218" s="507"/>
      <c r="K218" s="573"/>
      <c r="L218" s="507"/>
      <c r="M218" s="507"/>
      <c r="N218" s="507"/>
    </row>
    <row r="219" spans="1:26" x14ac:dyDescent="0.2">
      <c r="B219" s="507"/>
      <c r="C219" s="507"/>
      <c r="D219" s="507"/>
      <c r="E219" s="507"/>
      <c r="F219" s="507"/>
      <c r="G219" s="507"/>
      <c r="H219" s="507"/>
      <c r="I219" s="507"/>
      <c r="J219" s="507"/>
      <c r="K219" s="573"/>
      <c r="L219" s="507"/>
      <c r="M219" s="507"/>
      <c r="N219" s="507"/>
    </row>
    <row r="220" spans="1:26" x14ac:dyDescent="0.2">
      <c r="B220" s="507"/>
      <c r="C220" s="507"/>
      <c r="D220" s="507"/>
      <c r="E220" s="507"/>
      <c r="F220" s="507"/>
      <c r="G220" s="507"/>
      <c r="H220" s="507"/>
      <c r="I220" s="507"/>
      <c r="J220" s="507"/>
      <c r="K220" s="573"/>
      <c r="L220" s="507"/>
      <c r="M220" s="507"/>
      <c r="N220" s="507"/>
    </row>
    <row r="221" spans="1:26" x14ac:dyDescent="0.2">
      <c r="B221" s="507"/>
      <c r="C221" s="507"/>
      <c r="D221" s="507"/>
      <c r="E221" s="507"/>
      <c r="F221" s="507"/>
      <c r="G221" s="507"/>
      <c r="H221" s="507"/>
      <c r="I221" s="507"/>
      <c r="J221" s="507"/>
      <c r="K221" s="573"/>
      <c r="L221" s="507"/>
      <c r="M221" s="507"/>
      <c r="N221" s="507"/>
    </row>
    <row r="222" spans="1:26" x14ac:dyDescent="0.2">
      <c r="B222" s="507"/>
      <c r="C222" s="507"/>
      <c r="D222" s="507"/>
      <c r="E222" s="507"/>
      <c r="F222" s="507"/>
      <c r="G222" s="507"/>
      <c r="H222" s="507"/>
      <c r="I222" s="507"/>
      <c r="J222" s="507"/>
      <c r="K222" s="573"/>
      <c r="L222" s="507"/>
      <c r="M222" s="507"/>
      <c r="N222" s="507"/>
    </row>
    <row r="223" spans="1:26" x14ac:dyDescent="0.2">
      <c r="B223" s="507"/>
      <c r="C223" s="507"/>
      <c r="D223" s="507"/>
      <c r="E223" s="507"/>
      <c r="F223" s="507"/>
      <c r="G223" s="507"/>
      <c r="H223" s="507"/>
      <c r="I223" s="507"/>
      <c r="J223" s="507"/>
      <c r="K223" s="573"/>
      <c r="L223" s="507"/>
      <c r="M223" s="507"/>
      <c r="N223" s="507"/>
    </row>
    <row r="224" spans="1:26" x14ac:dyDescent="0.2">
      <c r="B224" s="507"/>
      <c r="C224" s="507"/>
      <c r="D224" s="507"/>
      <c r="E224" s="507"/>
      <c r="F224" s="507"/>
      <c r="G224" s="507"/>
      <c r="H224" s="507"/>
      <c r="I224" s="507"/>
      <c r="J224" s="507"/>
      <c r="K224" s="573"/>
      <c r="L224" s="507"/>
      <c r="M224" s="507"/>
      <c r="N224" s="507"/>
    </row>
    <row r="225" spans="2:14" x14ac:dyDescent="0.2">
      <c r="B225" s="507"/>
      <c r="C225" s="507"/>
      <c r="D225" s="507"/>
      <c r="E225" s="507"/>
      <c r="F225" s="507"/>
      <c r="G225" s="507"/>
      <c r="H225" s="507"/>
      <c r="I225" s="507"/>
      <c r="J225" s="507"/>
      <c r="K225" s="573"/>
      <c r="L225" s="507"/>
      <c r="M225" s="507"/>
      <c r="N225" s="507"/>
    </row>
    <row r="226" spans="2:14" x14ac:dyDescent="0.2">
      <c r="B226" s="507"/>
      <c r="C226" s="507"/>
      <c r="D226" s="507"/>
      <c r="E226" s="507"/>
      <c r="F226" s="507"/>
      <c r="G226" s="507"/>
      <c r="H226" s="507"/>
      <c r="I226" s="507"/>
      <c r="J226" s="507"/>
      <c r="K226" s="573"/>
      <c r="L226" s="507"/>
      <c r="M226" s="507"/>
      <c r="N226" s="507"/>
    </row>
    <row r="227" spans="2:14" x14ac:dyDescent="0.2">
      <c r="B227" s="507"/>
      <c r="C227" s="507"/>
      <c r="D227" s="507"/>
      <c r="E227" s="507"/>
      <c r="F227" s="507"/>
      <c r="G227" s="507"/>
      <c r="H227" s="507"/>
      <c r="I227" s="507"/>
      <c r="J227" s="507"/>
      <c r="K227" s="573"/>
      <c r="L227" s="507"/>
      <c r="M227" s="507"/>
      <c r="N227" s="507"/>
    </row>
    <row r="228" spans="2:14" x14ac:dyDescent="0.2">
      <c r="B228" s="507"/>
      <c r="C228" s="507"/>
      <c r="D228" s="507"/>
      <c r="E228" s="507"/>
      <c r="F228" s="507"/>
      <c r="G228" s="507"/>
      <c r="H228" s="507"/>
      <c r="I228" s="507"/>
      <c r="J228" s="507"/>
      <c r="K228" s="573"/>
      <c r="L228" s="507"/>
      <c r="M228" s="507"/>
      <c r="N228" s="507"/>
    </row>
    <row r="229" spans="2:14" x14ac:dyDescent="0.2">
      <c r="B229" s="507"/>
      <c r="C229" s="507"/>
      <c r="D229" s="507"/>
      <c r="E229" s="507"/>
      <c r="F229" s="507"/>
      <c r="G229" s="507"/>
      <c r="H229" s="507"/>
      <c r="I229" s="507"/>
      <c r="J229" s="507"/>
      <c r="K229" s="573"/>
      <c r="L229" s="507"/>
      <c r="M229" s="507"/>
      <c r="N229" s="507"/>
    </row>
    <row r="230" spans="2:14" x14ac:dyDescent="0.2">
      <c r="B230" s="507"/>
      <c r="C230" s="507"/>
      <c r="D230" s="507"/>
      <c r="E230" s="507"/>
      <c r="F230" s="507"/>
      <c r="G230" s="507"/>
      <c r="H230" s="507"/>
      <c r="I230" s="507"/>
      <c r="J230" s="507"/>
      <c r="K230" s="573"/>
      <c r="L230" s="507"/>
      <c r="M230" s="507"/>
      <c r="N230" s="507"/>
    </row>
    <row r="231" spans="2:14" x14ac:dyDescent="0.2">
      <c r="B231" s="507"/>
      <c r="C231" s="507"/>
      <c r="D231" s="507"/>
      <c r="E231" s="507"/>
      <c r="F231" s="507"/>
      <c r="G231" s="507"/>
      <c r="H231" s="507"/>
      <c r="I231" s="507"/>
      <c r="J231" s="507"/>
      <c r="K231" s="573"/>
      <c r="L231" s="507"/>
      <c r="M231" s="507"/>
      <c r="N231" s="507"/>
    </row>
    <row r="232" spans="2:14" x14ac:dyDescent="0.2">
      <c r="B232" s="507"/>
      <c r="C232" s="507"/>
      <c r="D232" s="507"/>
      <c r="E232" s="507"/>
      <c r="F232" s="507"/>
      <c r="G232" s="507"/>
      <c r="H232" s="507"/>
      <c r="I232" s="507"/>
      <c r="J232" s="507"/>
      <c r="K232" s="573"/>
      <c r="L232" s="507"/>
      <c r="M232" s="507"/>
      <c r="N232" s="507"/>
    </row>
    <row r="233" spans="2:14" s="507" customFormat="1" x14ac:dyDescent="0.2">
      <c r="K233" s="573"/>
    </row>
    <row r="234" spans="2:14" s="507" customFormat="1" x14ac:dyDescent="0.2">
      <c r="K234" s="573"/>
    </row>
    <row r="235" spans="2:14" s="507" customFormat="1" x14ac:dyDescent="0.2">
      <c r="K235" s="573"/>
    </row>
    <row r="236" spans="2:14" s="507" customFormat="1" x14ac:dyDescent="0.2">
      <c r="K236" s="573"/>
    </row>
    <row r="237" spans="2:14" s="507" customFormat="1" x14ac:dyDescent="0.2">
      <c r="K237" s="573"/>
    </row>
    <row r="238" spans="2:14" s="507" customFormat="1" x14ac:dyDescent="0.2">
      <c r="K238" s="573"/>
    </row>
    <row r="239" spans="2:14" s="507" customFormat="1" x14ac:dyDescent="0.2">
      <c r="K239" s="573"/>
    </row>
    <row r="240" spans="2:14" s="507" customFormat="1" x14ac:dyDescent="0.2">
      <c r="K240" s="573"/>
    </row>
    <row r="241" spans="11:11" s="507" customFormat="1" x14ac:dyDescent="0.2">
      <c r="K241" s="573"/>
    </row>
    <row r="242" spans="11:11" s="507" customFormat="1" x14ac:dyDescent="0.2">
      <c r="K242" s="573"/>
    </row>
    <row r="243" spans="11:11" s="507" customFormat="1" x14ac:dyDescent="0.2">
      <c r="K243" s="573"/>
    </row>
    <row r="244" spans="11:11" s="507" customFormat="1" x14ac:dyDescent="0.2">
      <c r="K244" s="573"/>
    </row>
    <row r="245" spans="11:11" s="507" customFormat="1" x14ac:dyDescent="0.2">
      <c r="K245" s="573"/>
    </row>
    <row r="246" spans="11:11" s="507" customFormat="1" x14ac:dyDescent="0.2">
      <c r="K246" s="573"/>
    </row>
    <row r="247" spans="11:11" s="507" customFormat="1" x14ac:dyDescent="0.2">
      <c r="K247" s="573"/>
    </row>
    <row r="248" spans="11:11" s="507" customFormat="1" x14ac:dyDescent="0.2">
      <c r="K248" s="573"/>
    </row>
    <row r="249" spans="11:11" s="507" customFormat="1" x14ac:dyDescent="0.2">
      <c r="K249" s="573"/>
    </row>
    <row r="250" spans="11:11" s="507" customFormat="1" x14ac:dyDescent="0.2">
      <c r="K250" s="573"/>
    </row>
    <row r="251" spans="11:11" s="507" customFormat="1" x14ac:dyDescent="0.2">
      <c r="K251" s="573"/>
    </row>
    <row r="252" spans="11:11" s="507" customFormat="1" x14ac:dyDescent="0.2">
      <c r="K252" s="573"/>
    </row>
    <row r="253" spans="11:11" s="507" customFormat="1" x14ac:dyDescent="0.2">
      <c r="K253" s="573"/>
    </row>
    <row r="254" spans="11:11" s="507" customFormat="1" x14ac:dyDescent="0.2">
      <c r="K254" s="573"/>
    </row>
    <row r="255" spans="11:11" s="507" customFormat="1" x14ac:dyDescent="0.2">
      <c r="K255" s="573"/>
    </row>
    <row r="256" spans="11:11" s="507" customFormat="1" x14ac:dyDescent="0.2">
      <c r="K256" s="573"/>
    </row>
    <row r="257" spans="11:11" s="507" customFormat="1" x14ac:dyDescent="0.2">
      <c r="K257" s="573"/>
    </row>
    <row r="258" spans="11:11" s="507" customFormat="1" x14ac:dyDescent="0.2">
      <c r="K258" s="573"/>
    </row>
    <row r="259" spans="11:11" s="507" customFormat="1" x14ac:dyDescent="0.2">
      <c r="K259" s="573"/>
    </row>
    <row r="260" spans="11:11" s="507" customFormat="1" x14ac:dyDescent="0.2">
      <c r="K260" s="573"/>
    </row>
    <row r="261" spans="11:11" s="507" customFormat="1" x14ac:dyDescent="0.2">
      <c r="K261" s="573"/>
    </row>
    <row r="262" spans="11:11" s="507" customFormat="1" x14ac:dyDescent="0.2">
      <c r="K262" s="573"/>
    </row>
    <row r="263" spans="11:11" s="507" customFormat="1" x14ac:dyDescent="0.2">
      <c r="K263" s="573"/>
    </row>
    <row r="264" spans="11:11" s="507" customFormat="1" x14ac:dyDescent="0.2">
      <c r="K264" s="573"/>
    </row>
    <row r="265" spans="11:11" s="507" customFormat="1" x14ac:dyDescent="0.2">
      <c r="K265" s="573"/>
    </row>
    <row r="266" spans="11:11" s="507" customFormat="1" x14ac:dyDescent="0.2">
      <c r="K266" s="573"/>
    </row>
    <row r="267" spans="11:11" s="507" customFormat="1" x14ac:dyDescent="0.2">
      <c r="K267" s="573"/>
    </row>
    <row r="268" spans="11:11" s="507" customFormat="1" x14ac:dyDescent="0.2">
      <c r="K268" s="573"/>
    </row>
    <row r="269" spans="11:11" s="507" customFormat="1" x14ac:dyDescent="0.2">
      <c r="K269" s="573"/>
    </row>
    <row r="270" spans="11:11" s="507" customFormat="1" x14ac:dyDescent="0.2">
      <c r="K270" s="573"/>
    </row>
    <row r="271" spans="11:11" s="507" customFormat="1" x14ac:dyDescent="0.2">
      <c r="K271" s="573"/>
    </row>
    <row r="272" spans="11:11" s="507" customFormat="1" x14ac:dyDescent="0.2">
      <c r="K272" s="573"/>
    </row>
    <row r="273" spans="11:11" s="507" customFormat="1" x14ac:dyDescent="0.2">
      <c r="K273" s="573"/>
    </row>
    <row r="274" spans="11:11" s="507" customFormat="1" x14ac:dyDescent="0.2">
      <c r="K274" s="573"/>
    </row>
    <row r="275" spans="11:11" s="507" customFormat="1" x14ac:dyDescent="0.2">
      <c r="K275" s="573"/>
    </row>
    <row r="276" spans="11:11" s="507" customFormat="1" x14ac:dyDescent="0.2">
      <c r="K276" s="573"/>
    </row>
    <row r="277" spans="11:11" s="507" customFormat="1" x14ac:dyDescent="0.2">
      <c r="K277" s="573"/>
    </row>
    <row r="278" spans="11:11" s="507" customFormat="1" x14ac:dyDescent="0.2">
      <c r="K278" s="573"/>
    </row>
    <row r="279" spans="11:11" s="507" customFormat="1" x14ac:dyDescent="0.2">
      <c r="K279" s="573"/>
    </row>
    <row r="280" spans="11:11" s="507" customFormat="1" x14ac:dyDescent="0.2">
      <c r="K280" s="573"/>
    </row>
    <row r="281" spans="11:11" s="507" customFormat="1" x14ac:dyDescent="0.2">
      <c r="K281" s="573"/>
    </row>
    <row r="282" spans="11:11" s="507" customFormat="1" x14ac:dyDescent="0.2">
      <c r="K282" s="573"/>
    </row>
    <row r="283" spans="11:11" s="507" customFormat="1" x14ac:dyDescent="0.2">
      <c r="K283" s="573"/>
    </row>
    <row r="284" spans="11:11" s="507" customFormat="1" x14ac:dyDescent="0.2">
      <c r="K284" s="573"/>
    </row>
    <row r="285" spans="11:11" s="507" customFormat="1" x14ac:dyDescent="0.2">
      <c r="K285" s="573"/>
    </row>
    <row r="286" spans="11:11" s="507" customFormat="1" x14ac:dyDescent="0.2">
      <c r="K286" s="573"/>
    </row>
    <row r="287" spans="11:11" s="507" customFormat="1" x14ac:dyDescent="0.2">
      <c r="K287" s="573"/>
    </row>
    <row r="288" spans="11:11" s="507" customFormat="1" x14ac:dyDescent="0.2">
      <c r="K288" s="573"/>
    </row>
    <row r="289" spans="11:11" s="507" customFormat="1" x14ac:dyDescent="0.2">
      <c r="K289" s="573"/>
    </row>
    <row r="290" spans="11:11" s="507" customFormat="1" x14ac:dyDescent="0.2">
      <c r="K290" s="573"/>
    </row>
    <row r="291" spans="11:11" s="507" customFormat="1" x14ac:dyDescent="0.2">
      <c r="K291" s="573"/>
    </row>
    <row r="292" spans="11:11" s="507" customFormat="1" x14ac:dyDescent="0.2">
      <c r="K292" s="573"/>
    </row>
    <row r="293" spans="11:11" s="507" customFormat="1" x14ac:dyDescent="0.2">
      <c r="K293" s="573"/>
    </row>
    <row r="294" spans="11:11" s="507" customFormat="1" x14ac:dyDescent="0.2">
      <c r="K294" s="573"/>
    </row>
    <row r="295" spans="11:11" s="507" customFormat="1" x14ac:dyDescent="0.2">
      <c r="K295" s="573"/>
    </row>
    <row r="296" spans="11:11" s="507" customFormat="1" x14ac:dyDescent="0.2">
      <c r="K296" s="573"/>
    </row>
    <row r="297" spans="11:11" s="507" customFormat="1" x14ac:dyDescent="0.2">
      <c r="K297" s="573"/>
    </row>
    <row r="298" spans="11:11" s="507" customFormat="1" x14ac:dyDescent="0.2">
      <c r="K298" s="573"/>
    </row>
    <row r="299" spans="11:11" s="507" customFormat="1" x14ac:dyDescent="0.2">
      <c r="K299" s="573"/>
    </row>
    <row r="300" spans="11:11" s="507" customFormat="1" x14ac:dyDescent="0.2">
      <c r="K300" s="573"/>
    </row>
    <row r="301" spans="11:11" s="507" customFormat="1" x14ac:dyDescent="0.2">
      <c r="K301" s="573"/>
    </row>
    <row r="302" spans="11:11" s="507" customFormat="1" x14ac:dyDescent="0.2">
      <c r="K302" s="573"/>
    </row>
    <row r="303" spans="11:11" s="507" customFormat="1" x14ac:dyDescent="0.2">
      <c r="K303" s="573"/>
    </row>
    <row r="304" spans="11:11" s="507" customFormat="1" x14ac:dyDescent="0.2">
      <c r="K304" s="573"/>
    </row>
    <row r="305" spans="11:11" s="507" customFormat="1" x14ac:dyDescent="0.2">
      <c r="K305" s="573"/>
    </row>
    <row r="306" spans="11:11" s="507" customFormat="1" x14ac:dyDescent="0.2">
      <c r="K306" s="573"/>
    </row>
    <row r="307" spans="11:11" s="507" customFormat="1" x14ac:dyDescent="0.2">
      <c r="K307" s="573"/>
    </row>
    <row r="308" spans="11:11" s="507" customFormat="1" x14ac:dyDescent="0.2">
      <c r="K308" s="573"/>
    </row>
    <row r="309" spans="11:11" s="507" customFormat="1" x14ac:dyDescent="0.2">
      <c r="K309" s="573"/>
    </row>
    <row r="310" spans="11:11" s="507" customFormat="1" x14ac:dyDescent="0.2">
      <c r="K310" s="573"/>
    </row>
    <row r="311" spans="11:11" s="507" customFormat="1" x14ac:dyDescent="0.2">
      <c r="K311" s="573"/>
    </row>
    <row r="312" spans="11:11" s="507" customFormat="1" x14ac:dyDescent="0.2">
      <c r="K312" s="573"/>
    </row>
    <row r="313" spans="11:11" s="507" customFormat="1" x14ac:dyDescent="0.2">
      <c r="K313" s="573"/>
    </row>
    <row r="314" spans="11:11" s="507" customFormat="1" x14ac:dyDescent="0.2">
      <c r="K314" s="573"/>
    </row>
    <row r="315" spans="11:11" s="507" customFormat="1" x14ac:dyDescent="0.2">
      <c r="K315" s="573"/>
    </row>
    <row r="316" spans="11:11" s="507" customFormat="1" x14ac:dyDescent="0.2">
      <c r="K316" s="573"/>
    </row>
    <row r="317" spans="11:11" s="507" customFormat="1" x14ac:dyDescent="0.2">
      <c r="K317" s="573"/>
    </row>
    <row r="318" spans="11:11" s="507" customFormat="1" x14ac:dyDescent="0.2">
      <c r="K318" s="573"/>
    </row>
    <row r="319" spans="11:11" s="507" customFormat="1" x14ac:dyDescent="0.2">
      <c r="K319" s="573"/>
    </row>
    <row r="320" spans="11:11" s="507" customFormat="1" x14ac:dyDescent="0.2">
      <c r="K320" s="573"/>
    </row>
    <row r="321" spans="11:11" s="507" customFormat="1" x14ac:dyDescent="0.2">
      <c r="K321" s="573"/>
    </row>
    <row r="322" spans="11:11" s="507" customFormat="1" x14ac:dyDescent="0.2">
      <c r="K322" s="573"/>
    </row>
    <row r="323" spans="11:11" s="507" customFormat="1" x14ac:dyDescent="0.2">
      <c r="K323" s="573"/>
    </row>
    <row r="324" spans="11:11" s="507" customFormat="1" x14ac:dyDescent="0.2">
      <c r="K324" s="573"/>
    </row>
    <row r="325" spans="11:11" s="507" customFormat="1" x14ac:dyDescent="0.2">
      <c r="K325" s="573"/>
    </row>
    <row r="326" spans="11:11" s="507" customFormat="1" x14ac:dyDescent="0.2">
      <c r="K326" s="573"/>
    </row>
    <row r="327" spans="11:11" s="507" customFormat="1" x14ac:dyDescent="0.2">
      <c r="K327" s="573"/>
    </row>
    <row r="328" spans="11:11" s="507" customFormat="1" x14ac:dyDescent="0.2">
      <c r="K328" s="573"/>
    </row>
    <row r="329" spans="11:11" s="507" customFormat="1" x14ac:dyDescent="0.2">
      <c r="K329" s="573"/>
    </row>
    <row r="330" spans="11:11" s="507" customFormat="1" x14ac:dyDescent="0.2">
      <c r="K330" s="573"/>
    </row>
    <row r="331" spans="11:11" s="507" customFormat="1" x14ac:dyDescent="0.2">
      <c r="K331" s="573"/>
    </row>
    <row r="332" spans="11:11" s="507" customFormat="1" x14ac:dyDescent="0.2">
      <c r="K332" s="573"/>
    </row>
    <row r="333" spans="11:11" s="507" customFormat="1" x14ac:dyDescent="0.2">
      <c r="K333" s="573"/>
    </row>
    <row r="334" spans="11:11" s="507" customFormat="1" x14ac:dyDescent="0.2">
      <c r="K334" s="573"/>
    </row>
    <row r="335" spans="11:11" s="507" customFormat="1" x14ac:dyDescent="0.2">
      <c r="K335" s="573"/>
    </row>
    <row r="336" spans="11:11" s="507" customFormat="1" x14ac:dyDescent="0.2">
      <c r="K336" s="573"/>
    </row>
    <row r="337" spans="11:11" s="507" customFormat="1" x14ac:dyDescent="0.2">
      <c r="K337" s="573"/>
    </row>
    <row r="338" spans="11:11" s="507" customFormat="1" x14ac:dyDescent="0.2">
      <c r="K338" s="573"/>
    </row>
    <row r="339" spans="11:11" s="507" customFormat="1" x14ac:dyDescent="0.2">
      <c r="K339" s="573"/>
    </row>
    <row r="340" spans="11:11" s="507" customFormat="1" x14ac:dyDescent="0.2">
      <c r="K340" s="573"/>
    </row>
    <row r="341" spans="11:11" s="507" customFormat="1" x14ac:dyDescent="0.2">
      <c r="K341" s="573"/>
    </row>
    <row r="342" spans="11:11" s="507" customFormat="1" x14ac:dyDescent="0.2">
      <c r="K342" s="573"/>
    </row>
    <row r="343" spans="11:11" s="507" customFormat="1" x14ac:dyDescent="0.2">
      <c r="K343" s="573"/>
    </row>
    <row r="344" spans="11:11" s="507" customFormat="1" x14ac:dyDescent="0.2">
      <c r="K344" s="573"/>
    </row>
    <row r="345" spans="11:11" s="507" customFormat="1" x14ac:dyDescent="0.2">
      <c r="K345" s="573"/>
    </row>
    <row r="346" spans="11:11" s="507" customFormat="1" x14ac:dyDescent="0.2">
      <c r="K346" s="573"/>
    </row>
    <row r="347" spans="11:11" s="507" customFormat="1" x14ac:dyDescent="0.2">
      <c r="K347" s="573"/>
    </row>
    <row r="348" spans="11:11" s="507" customFormat="1" x14ac:dyDescent="0.2">
      <c r="K348" s="573"/>
    </row>
    <row r="349" spans="11:11" s="507" customFormat="1" x14ac:dyDescent="0.2">
      <c r="K349" s="573"/>
    </row>
    <row r="350" spans="11:11" s="507" customFormat="1" x14ac:dyDescent="0.2">
      <c r="K350" s="573"/>
    </row>
    <row r="351" spans="11:11" s="507" customFormat="1" x14ac:dyDescent="0.2">
      <c r="K351" s="573"/>
    </row>
    <row r="352" spans="11:11" s="507" customFormat="1" x14ac:dyDescent="0.2">
      <c r="K352" s="573"/>
    </row>
    <row r="353" spans="11:11" s="507" customFormat="1" x14ac:dyDescent="0.2">
      <c r="K353" s="573"/>
    </row>
    <row r="354" spans="11:11" s="507" customFormat="1" x14ac:dyDescent="0.2">
      <c r="K354" s="573"/>
    </row>
    <row r="355" spans="11:11" s="507" customFormat="1" x14ac:dyDescent="0.2">
      <c r="K355" s="573"/>
    </row>
    <row r="356" spans="11:11" s="507" customFormat="1" x14ac:dyDescent="0.2">
      <c r="K356" s="573"/>
    </row>
    <row r="357" spans="11:11" s="507" customFormat="1" x14ac:dyDescent="0.2">
      <c r="K357" s="573"/>
    </row>
    <row r="358" spans="11:11" s="507" customFormat="1" x14ac:dyDescent="0.2">
      <c r="K358" s="573"/>
    </row>
    <row r="359" spans="11:11" s="507" customFormat="1" x14ac:dyDescent="0.2">
      <c r="K359" s="573"/>
    </row>
    <row r="360" spans="11:11" s="507" customFormat="1" x14ac:dyDescent="0.2">
      <c r="K360" s="573"/>
    </row>
    <row r="361" spans="11:11" s="507" customFormat="1" x14ac:dyDescent="0.2">
      <c r="K361" s="573"/>
    </row>
    <row r="362" spans="11:11" s="507" customFormat="1" x14ac:dyDescent="0.2">
      <c r="K362" s="573"/>
    </row>
    <row r="363" spans="11:11" s="507" customFormat="1" x14ac:dyDescent="0.2">
      <c r="K363" s="573"/>
    </row>
    <row r="364" spans="11:11" s="507" customFormat="1" x14ac:dyDescent="0.2">
      <c r="K364" s="573"/>
    </row>
    <row r="365" spans="11:11" s="507" customFormat="1" x14ac:dyDescent="0.2">
      <c r="K365" s="573"/>
    </row>
    <row r="366" spans="11:11" s="507" customFormat="1" x14ac:dyDescent="0.2">
      <c r="K366" s="573"/>
    </row>
    <row r="367" spans="11:11" s="507" customFormat="1" x14ac:dyDescent="0.2">
      <c r="K367" s="573"/>
    </row>
    <row r="368" spans="11:11" s="507" customFormat="1" x14ac:dyDescent="0.2">
      <c r="K368" s="573"/>
    </row>
    <row r="369" spans="11:11" s="507" customFormat="1" x14ac:dyDescent="0.2">
      <c r="K369" s="573"/>
    </row>
    <row r="370" spans="11:11" s="507" customFormat="1" x14ac:dyDescent="0.2">
      <c r="K370" s="573"/>
    </row>
    <row r="371" spans="11:11" s="507" customFormat="1" x14ac:dyDescent="0.2">
      <c r="K371" s="573"/>
    </row>
    <row r="372" spans="11:11" s="507" customFormat="1" x14ac:dyDescent="0.2">
      <c r="K372" s="573"/>
    </row>
    <row r="373" spans="11:11" s="507" customFormat="1" x14ac:dyDescent="0.2">
      <c r="K373" s="573"/>
    </row>
    <row r="374" spans="11:11" s="507" customFormat="1" x14ac:dyDescent="0.2">
      <c r="K374" s="573"/>
    </row>
    <row r="375" spans="11:11" s="507" customFormat="1" x14ac:dyDescent="0.2">
      <c r="K375" s="573"/>
    </row>
    <row r="376" spans="11:11" s="507" customFormat="1" x14ac:dyDescent="0.2">
      <c r="K376" s="573"/>
    </row>
    <row r="377" spans="11:11" s="507" customFormat="1" x14ac:dyDescent="0.2">
      <c r="K377" s="573"/>
    </row>
    <row r="378" spans="11:11" s="507" customFormat="1" x14ac:dyDescent="0.2">
      <c r="K378" s="573"/>
    </row>
    <row r="379" spans="11:11" s="507" customFormat="1" x14ac:dyDescent="0.2">
      <c r="K379" s="573"/>
    </row>
    <row r="380" spans="11:11" s="507" customFormat="1" x14ac:dyDescent="0.2">
      <c r="K380" s="573"/>
    </row>
    <row r="381" spans="11:11" s="507" customFormat="1" x14ac:dyDescent="0.2">
      <c r="K381" s="573"/>
    </row>
    <row r="382" spans="11:11" s="507" customFormat="1" x14ac:dyDescent="0.2">
      <c r="K382" s="573"/>
    </row>
    <row r="383" spans="11:11" s="507" customFormat="1" x14ac:dyDescent="0.2">
      <c r="K383" s="573"/>
    </row>
    <row r="384" spans="11:11" s="507" customFormat="1" x14ac:dyDescent="0.2">
      <c r="K384" s="573"/>
    </row>
    <row r="385" spans="11:11" s="507" customFormat="1" x14ac:dyDescent="0.2">
      <c r="K385" s="573"/>
    </row>
    <row r="386" spans="11:11" s="507" customFormat="1" x14ac:dyDescent="0.2">
      <c r="K386" s="573"/>
    </row>
    <row r="387" spans="11:11" s="507" customFormat="1" x14ac:dyDescent="0.2">
      <c r="K387" s="573"/>
    </row>
    <row r="388" spans="11:11" s="507" customFormat="1" x14ac:dyDescent="0.2">
      <c r="K388" s="573"/>
    </row>
    <row r="389" spans="11:11" s="507" customFormat="1" x14ac:dyDescent="0.2">
      <c r="K389" s="573"/>
    </row>
    <row r="390" spans="11:11" s="507" customFormat="1" x14ac:dyDescent="0.2">
      <c r="K390" s="573"/>
    </row>
    <row r="391" spans="11:11" s="507" customFormat="1" x14ac:dyDescent="0.2">
      <c r="K391" s="573"/>
    </row>
    <row r="392" spans="11:11" s="507" customFormat="1" x14ac:dyDescent="0.2">
      <c r="K392" s="573"/>
    </row>
    <row r="393" spans="11:11" s="507" customFormat="1" x14ac:dyDescent="0.2">
      <c r="K393" s="573"/>
    </row>
    <row r="394" spans="11:11" s="507" customFormat="1" x14ac:dyDescent="0.2">
      <c r="K394" s="573"/>
    </row>
    <row r="395" spans="11:11" s="507" customFormat="1" x14ac:dyDescent="0.2">
      <c r="K395" s="573"/>
    </row>
    <row r="396" spans="11:11" s="507" customFormat="1" x14ac:dyDescent="0.2">
      <c r="K396" s="573"/>
    </row>
    <row r="397" spans="11:11" s="507" customFormat="1" x14ac:dyDescent="0.2">
      <c r="K397" s="573"/>
    </row>
    <row r="398" spans="11:11" s="507" customFormat="1" x14ac:dyDescent="0.2">
      <c r="K398" s="573"/>
    </row>
    <row r="399" spans="11:11" s="507" customFormat="1" x14ac:dyDescent="0.2">
      <c r="K399" s="573"/>
    </row>
    <row r="400" spans="11:11" s="507" customFormat="1" x14ac:dyDescent="0.2">
      <c r="K400" s="573"/>
    </row>
    <row r="401" spans="11:11" s="507" customFormat="1" x14ac:dyDescent="0.2">
      <c r="K401" s="573"/>
    </row>
    <row r="402" spans="11:11" s="507" customFormat="1" x14ac:dyDescent="0.2">
      <c r="K402" s="573"/>
    </row>
    <row r="403" spans="11:11" s="507" customFormat="1" x14ac:dyDescent="0.2">
      <c r="K403" s="573"/>
    </row>
    <row r="404" spans="11:11" s="507" customFormat="1" x14ac:dyDescent="0.2">
      <c r="K404" s="573"/>
    </row>
    <row r="405" spans="11:11" s="507" customFormat="1" x14ac:dyDescent="0.2">
      <c r="K405" s="573"/>
    </row>
    <row r="406" spans="11:11" s="507" customFormat="1" x14ac:dyDescent="0.2">
      <c r="K406" s="573"/>
    </row>
    <row r="407" spans="11:11" s="507" customFormat="1" x14ac:dyDescent="0.2">
      <c r="K407" s="573"/>
    </row>
    <row r="408" spans="11:11" s="507" customFormat="1" x14ac:dyDescent="0.2">
      <c r="K408" s="573"/>
    </row>
    <row r="409" spans="11:11" s="507" customFormat="1" x14ac:dyDescent="0.2">
      <c r="K409" s="573"/>
    </row>
    <row r="410" spans="11:11" s="507" customFormat="1" x14ac:dyDescent="0.2">
      <c r="K410" s="573"/>
    </row>
    <row r="411" spans="11:11" s="507" customFormat="1" x14ac:dyDescent="0.2">
      <c r="K411" s="573"/>
    </row>
    <row r="412" spans="11:11" s="507" customFormat="1" x14ac:dyDescent="0.2">
      <c r="K412" s="573"/>
    </row>
    <row r="413" spans="11:11" s="507" customFormat="1" x14ac:dyDescent="0.2">
      <c r="K413" s="573"/>
    </row>
    <row r="414" spans="11:11" s="507" customFormat="1" x14ac:dyDescent="0.2">
      <c r="K414" s="573"/>
    </row>
    <row r="415" spans="11:11" s="507" customFormat="1" x14ac:dyDescent="0.2">
      <c r="K415" s="573"/>
    </row>
    <row r="416" spans="11:11" s="507" customFormat="1" x14ac:dyDescent="0.2">
      <c r="K416" s="573"/>
    </row>
    <row r="417" spans="11:11" s="507" customFormat="1" x14ac:dyDescent="0.2">
      <c r="K417" s="573"/>
    </row>
    <row r="418" spans="11:11" s="507" customFormat="1" x14ac:dyDescent="0.2">
      <c r="K418" s="573"/>
    </row>
    <row r="419" spans="11:11" s="507" customFormat="1" x14ac:dyDescent="0.2">
      <c r="K419" s="573"/>
    </row>
    <row r="420" spans="11:11" s="507" customFormat="1" x14ac:dyDescent="0.2">
      <c r="K420" s="573"/>
    </row>
    <row r="421" spans="11:11" s="507" customFormat="1" x14ac:dyDescent="0.2">
      <c r="K421" s="573"/>
    </row>
    <row r="422" spans="11:11" s="507" customFormat="1" x14ac:dyDescent="0.2">
      <c r="K422" s="573"/>
    </row>
    <row r="423" spans="11:11" s="507" customFormat="1" x14ac:dyDescent="0.2">
      <c r="K423" s="573"/>
    </row>
    <row r="424" spans="11:11" s="507" customFormat="1" x14ac:dyDescent="0.2">
      <c r="K424" s="573"/>
    </row>
    <row r="425" spans="11:11" s="507" customFormat="1" x14ac:dyDescent="0.2">
      <c r="K425" s="573"/>
    </row>
    <row r="426" spans="11:11" s="507" customFormat="1" x14ac:dyDescent="0.2">
      <c r="K426" s="573"/>
    </row>
    <row r="427" spans="11:11" s="507" customFormat="1" x14ac:dyDescent="0.2">
      <c r="K427" s="573"/>
    </row>
    <row r="428" spans="11:11" s="507" customFormat="1" x14ac:dyDescent="0.2">
      <c r="K428" s="573"/>
    </row>
    <row r="429" spans="11:11" s="507" customFormat="1" x14ac:dyDescent="0.2">
      <c r="K429" s="573"/>
    </row>
    <row r="430" spans="11:11" s="507" customFormat="1" x14ac:dyDescent="0.2">
      <c r="K430" s="573"/>
    </row>
    <row r="431" spans="11:11" s="507" customFormat="1" x14ac:dyDescent="0.2">
      <c r="K431" s="573"/>
    </row>
    <row r="432" spans="11:11" s="507" customFormat="1" x14ac:dyDescent="0.2">
      <c r="K432" s="573"/>
    </row>
    <row r="433" spans="11:11" s="507" customFormat="1" x14ac:dyDescent="0.2">
      <c r="K433" s="573"/>
    </row>
    <row r="434" spans="11:11" s="507" customFormat="1" x14ac:dyDescent="0.2">
      <c r="K434" s="573"/>
    </row>
    <row r="435" spans="11:11" s="507" customFormat="1" x14ac:dyDescent="0.2">
      <c r="K435" s="573"/>
    </row>
    <row r="436" spans="11:11" s="507" customFormat="1" x14ac:dyDescent="0.2">
      <c r="K436" s="573"/>
    </row>
    <row r="437" spans="11:11" s="507" customFormat="1" x14ac:dyDescent="0.2">
      <c r="K437" s="573"/>
    </row>
    <row r="438" spans="11:11" s="507" customFormat="1" x14ac:dyDescent="0.2">
      <c r="K438" s="573"/>
    </row>
    <row r="439" spans="11:11" s="507" customFormat="1" x14ac:dyDescent="0.2">
      <c r="K439" s="573"/>
    </row>
    <row r="440" spans="11:11" s="507" customFormat="1" x14ac:dyDescent="0.2">
      <c r="K440" s="573"/>
    </row>
    <row r="441" spans="11:11" s="507" customFormat="1" x14ac:dyDescent="0.2">
      <c r="K441" s="573"/>
    </row>
    <row r="442" spans="11:11" s="507" customFormat="1" x14ac:dyDescent="0.2">
      <c r="K442" s="573"/>
    </row>
    <row r="443" spans="11:11" s="507" customFormat="1" x14ac:dyDescent="0.2">
      <c r="K443" s="573"/>
    </row>
    <row r="444" spans="11:11" s="507" customFormat="1" x14ac:dyDescent="0.2">
      <c r="K444" s="573"/>
    </row>
    <row r="445" spans="11:11" s="507" customFormat="1" x14ac:dyDescent="0.2">
      <c r="K445" s="573"/>
    </row>
    <row r="446" spans="11:11" s="507" customFormat="1" x14ac:dyDescent="0.2">
      <c r="K446" s="573"/>
    </row>
    <row r="447" spans="11:11" s="507" customFormat="1" x14ac:dyDescent="0.2">
      <c r="K447" s="573"/>
    </row>
    <row r="448" spans="11:11" s="507" customFormat="1" x14ac:dyDescent="0.2">
      <c r="K448" s="573"/>
    </row>
    <row r="449" spans="11:11" s="507" customFormat="1" x14ac:dyDescent="0.2">
      <c r="K449" s="573"/>
    </row>
    <row r="450" spans="11:11" s="507" customFormat="1" x14ac:dyDescent="0.2">
      <c r="K450" s="573"/>
    </row>
    <row r="451" spans="11:11" s="507" customFormat="1" x14ac:dyDescent="0.2">
      <c r="K451" s="573"/>
    </row>
    <row r="452" spans="11:11" s="507" customFormat="1" x14ac:dyDescent="0.2">
      <c r="K452" s="573"/>
    </row>
    <row r="453" spans="11:11" s="507" customFormat="1" x14ac:dyDescent="0.2">
      <c r="K453" s="573"/>
    </row>
    <row r="454" spans="11:11" s="507" customFormat="1" x14ac:dyDescent="0.2">
      <c r="K454" s="573"/>
    </row>
    <row r="455" spans="11:11" s="507" customFormat="1" x14ac:dyDescent="0.2">
      <c r="K455" s="573"/>
    </row>
    <row r="456" spans="11:11" s="507" customFormat="1" x14ac:dyDescent="0.2">
      <c r="K456" s="573"/>
    </row>
    <row r="457" spans="11:11" s="507" customFormat="1" x14ac:dyDescent="0.2">
      <c r="K457" s="573"/>
    </row>
    <row r="458" spans="11:11" s="507" customFormat="1" x14ac:dyDescent="0.2">
      <c r="K458" s="573"/>
    </row>
    <row r="459" spans="11:11" s="507" customFormat="1" x14ac:dyDescent="0.2">
      <c r="K459" s="573"/>
    </row>
    <row r="460" spans="11:11" s="507" customFormat="1" x14ac:dyDescent="0.2">
      <c r="K460" s="573"/>
    </row>
    <row r="461" spans="11:11" s="507" customFormat="1" x14ac:dyDescent="0.2">
      <c r="K461" s="573"/>
    </row>
    <row r="462" spans="11:11" s="507" customFormat="1" x14ac:dyDescent="0.2">
      <c r="K462" s="573"/>
    </row>
    <row r="463" spans="11:11" s="507" customFormat="1" x14ac:dyDescent="0.2">
      <c r="K463" s="573"/>
    </row>
    <row r="464" spans="11:11" s="507" customFormat="1" x14ac:dyDescent="0.2">
      <c r="K464" s="573"/>
    </row>
    <row r="465" spans="11:11" s="507" customFormat="1" x14ac:dyDescent="0.2">
      <c r="K465" s="573"/>
    </row>
    <row r="466" spans="11:11" s="507" customFormat="1" x14ac:dyDescent="0.2">
      <c r="K466" s="573"/>
    </row>
    <row r="467" spans="11:11" s="507" customFormat="1" x14ac:dyDescent="0.2">
      <c r="K467" s="573"/>
    </row>
    <row r="468" spans="11:11" s="507" customFormat="1" x14ac:dyDescent="0.2">
      <c r="K468" s="573"/>
    </row>
    <row r="469" spans="11:11" s="507" customFormat="1" x14ac:dyDescent="0.2">
      <c r="K469" s="573"/>
    </row>
    <row r="470" spans="11:11" s="507" customFormat="1" x14ac:dyDescent="0.2">
      <c r="K470" s="573"/>
    </row>
    <row r="471" spans="11:11" s="507" customFormat="1" x14ac:dyDescent="0.2">
      <c r="K471" s="573"/>
    </row>
    <row r="472" spans="11:11" s="507" customFormat="1" x14ac:dyDescent="0.2">
      <c r="K472" s="573"/>
    </row>
    <row r="473" spans="11:11" s="507" customFormat="1" x14ac:dyDescent="0.2">
      <c r="K473" s="573"/>
    </row>
    <row r="474" spans="11:11" s="507" customFormat="1" x14ac:dyDescent="0.2">
      <c r="K474" s="573"/>
    </row>
    <row r="475" spans="11:11" s="507" customFormat="1" x14ac:dyDescent="0.2">
      <c r="K475" s="573"/>
    </row>
    <row r="476" spans="11:11" s="507" customFormat="1" x14ac:dyDescent="0.2">
      <c r="K476" s="573"/>
    </row>
    <row r="477" spans="11:11" s="507" customFormat="1" x14ac:dyDescent="0.2">
      <c r="K477" s="573"/>
    </row>
    <row r="478" spans="11:11" s="507" customFormat="1" x14ac:dyDescent="0.2">
      <c r="K478" s="573"/>
    </row>
    <row r="479" spans="11:11" s="507" customFormat="1" x14ac:dyDescent="0.2">
      <c r="K479" s="573"/>
    </row>
    <row r="480" spans="11:11" s="507" customFormat="1" x14ac:dyDescent="0.2">
      <c r="K480" s="573"/>
    </row>
    <row r="481" spans="11:11" s="507" customFormat="1" x14ac:dyDescent="0.2">
      <c r="K481" s="573"/>
    </row>
    <row r="482" spans="11:11" s="507" customFormat="1" x14ac:dyDescent="0.2">
      <c r="K482" s="573"/>
    </row>
    <row r="483" spans="11:11" s="507" customFormat="1" x14ac:dyDescent="0.2">
      <c r="K483" s="573"/>
    </row>
    <row r="484" spans="11:11" s="507" customFormat="1" x14ac:dyDescent="0.2">
      <c r="K484" s="573"/>
    </row>
    <row r="485" spans="11:11" s="507" customFormat="1" x14ac:dyDescent="0.2">
      <c r="K485" s="573"/>
    </row>
    <row r="486" spans="11:11" s="507" customFormat="1" x14ac:dyDescent="0.2">
      <c r="K486" s="573"/>
    </row>
    <row r="487" spans="11:11" s="507" customFormat="1" x14ac:dyDescent="0.2">
      <c r="K487" s="573"/>
    </row>
  </sheetData>
  <sheetProtection password="E421" sheet="1" objects="1" scenarios="1"/>
  <mergeCells count="136">
    <mergeCell ref="A212:L212"/>
    <mergeCell ref="A213:L214"/>
    <mergeCell ref="D132:E132"/>
    <mergeCell ref="D133:E133"/>
    <mergeCell ref="D134:E134"/>
    <mergeCell ref="A207:L208"/>
    <mergeCell ref="A209:L209"/>
    <mergeCell ref="A210:L211"/>
    <mergeCell ref="D126:E126"/>
    <mergeCell ref="D127:E127"/>
    <mergeCell ref="D128:E128"/>
    <mergeCell ref="D129:E129"/>
    <mergeCell ref="D130:E130"/>
    <mergeCell ref="D131:E131"/>
    <mergeCell ref="G118:M119"/>
    <mergeCell ref="D121:E121"/>
    <mergeCell ref="D122:E122"/>
    <mergeCell ref="D123:E123"/>
    <mergeCell ref="D124:E124"/>
    <mergeCell ref="D125:E125"/>
    <mergeCell ref="B91:C91"/>
    <mergeCell ref="D91:M91"/>
    <mergeCell ref="B92:C92"/>
    <mergeCell ref="D92:M92"/>
    <mergeCell ref="B93:C93"/>
    <mergeCell ref="D93:M93"/>
    <mergeCell ref="D87:M87"/>
    <mergeCell ref="B88:M88"/>
    <mergeCell ref="B89:C89"/>
    <mergeCell ref="D89:M89"/>
    <mergeCell ref="B90:C90"/>
    <mergeCell ref="D90:M90"/>
    <mergeCell ref="B83:M83"/>
    <mergeCell ref="B84:C84"/>
    <mergeCell ref="D84:M84"/>
    <mergeCell ref="B85:C85"/>
    <mergeCell ref="D85:M85"/>
    <mergeCell ref="B86:C86"/>
    <mergeCell ref="D86:M86"/>
    <mergeCell ref="N75:N93"/>
    <mergeCell ref="B76:C76"/>
    <mergeCell ref="D76:M76"/>
    <mergeCell ref="B77:C77"/>
    <mergeCell ref="D77:M77"/>
    <mergeCell ref="B78:M78"/>
    <mergeCell ref="B79:C79"/>
    <mergeCell ref="B67:C67"/>
    <mergeCell ref="D67:M67"/>
    <mergeCell ref="D68:F68"/>
    <mergeCell ref="G68:I68"/>
    <mergeCell ref="D69:F73"/>
    <mergeCell ref="G69:I73"/>
    <mergeCell ref="D79:M79"/>
    <mergeCell ref="B80:C80"/>
    <mergeCell ref="D80:M80"/>
    <mergeCell ref="B81:C81"/>
    <mergeCell ref="D81:M81"/>
    <mergeCell ref="B82:C82"/>
    <mergeCell ref="D82:M82"/>
    <mergeCell ref="B74:C74"/>
    <mergeCell ref="D74:M74"/>
    <mergeCell ref="B75:M75"/>
    <mergeCell ref="B87:C87"/>
    <mergeCell ref="D59:F63"/>
    <mergeCell ref="G59:I63"/>
    <mergeCell ref="B64:C64"/>
    <mergeCell ref="D64:M64"/>
    <mergeCell ref="B65:M65"/>
    <mergeCell ref="B66:C66"/>
    <mergeCell ref="D66:M66"/>
    <mergeCell ref="B55:M55"/>
    <mergeCell ref="B56:C56"/>
    <mergeCell ref="D56:M56"/>
    <mergeCell ref="B57:C57"/>
    <mergeCell ref="D57:M57"/>
    <mergeCell ref="D58:F58"/>
    <mergeCell ref="G58:I58"/>
    <mergeCell ref="D48:F48"/>
    <mergeCell ref="G48:I48"/>
    <mergeCell ref="D49:F53"/>
    <mergeCell ref="G49:I53"/>
    <mergeCell ref="B54:C54"/>
    <mergeCell ref="D54:M54"/>
    <mergeCell ref="B44:C44"/>
    <mergeCell ref="D44:M44"/>
    <mergeCell ref="B45:M45"/>
    <mergeCell ref="B46:C46"/>
    <mergeCell ref="D46:M46"/>
    <mergeCell ref="B47:C47"/>
    <mergeCell ref="D47:M47"/>
    <mergeCell ref="B37:C37"/>
    <mergeCell ref="D37:M37"/>
    <mergeCell ref="D38:F38"/>
    <mergeCell ref="G38:I38"/>
    <mergeCell ref="D39:F43"/>
    <mergeCell ref="G39:I43"/>
    <mergeCell ref="D29:F33"/>
    <mergeCell ref="G29:I33"/>
    <mergeCell ref="B34:C34"/>
    <mergeCell ref="D34:M34"/>
    <mergeCell ref="B35:M35"/>
    <mergeCell ref="B36:C36"/>
    <mergeCell ref="D36:M36"/>
    <mergeCell ref="B23:C23"/>
    <mergeCell ref="B24:C24"/>
    <mergeCell ref="B25:C25"/>
    <mergeCell ref="B27:M27"/>
    <mergeCell ref="D28:F28"/>
    <mergeCell ref="G28:I28"/>
    <mergeCell ref="N15:N22"/>
    <mergeCell ref="B17:C17"/>
    <mergeCell ref="B18:C18"/>
    <mergeCell ref="B19:C19"/>
    <mergeCell ref="B20:C20"/>
    <mergeCell ref="B21:C21"/>
    <mergeCell ref="B22:C22"/>
    <mergeCell ref="B14:M14"/>
    <mergeCell ref="B15:C16"/>
    <mergeCell ref="D15:E15"/>
    <mergeCell ref="F15:G15"/>
    <mergeCell ref="H15:I15"/>
    <mergeCell ref="J15:K15"/>
    <mergeCell ref="L15:M15"/>
    <mergeCell ref="C10:M10"/>
    <mergeCell ref="C11:M11"/>
    <mergeCell ref="N11:N12"/>
    <mergeCell ref="C12:M12"/>
    <mergeCell ref="D13:F13"/>
    <mergeCell ref="G13:I13"/>
    <mergeCell ref="J13:M13"/>
    <mergeCell ref="B1:E1"/>
    <mergeCell ref="F1:M1"/>
    <mergeCell ref="B3:M3"/>
    <mergeCell ref="B4:M4"/>
    <mergeCell ref="B8:M8"/>
    <mergeCell ref="C9:M9"/>
  </mergeCells>
  <conditionalFormatting sqref="F1:M1">
    <cfRule type="containsText" dxfId="87" priority="43" operator="containsText" text="0">
      <formula>NOT(ISERROR(SEARCH("0",F1)))</formula>
    </cfRule>
  </conditionalFormatting>
  <conditionalFormatting sqref="C9:M10">
    <cfRule type="cellIs" dxfId="86" priority="42" operator="lessThanOrEqual">
      <formula>0</formula>
    </cfRule>
  </conditionalFormatting>
  <conditionalFormatting sqref="D79:M80 D84:M85 D90:M91">
    <cfRule type="containsErrors" dxfId="85" priority="41">
      <formula>ISERROR(D79)</formula>
    </cfRule>
  </conditionalFormatting>
  <conditionalFormatting sqref="D79:M79">
    <cfRule type="cellIs" dxfId="84" priority="39" operator="equal">
      <formula>0</formula>
    </cfRule>
  </conditionalFormatting>
  <conditionalFormatting sqref="E77:M77 D76:D77">
    <cfRule type="cellIs" dxfId="83" priority="37" operator="lessThanOrEqual">
      <formula>0</formula>
    </cfRule>
  </conditionalFormatting>
  <conditionalFormatting sqref="D81:M81">
    <cfRule type="cellIs" dxfId="82" priority="36" operator="lessThanOrEqual">
      <formula>0</formula>
    </cfRule>
  </conditionalFormatting>
  <conditionalFormatting sqref="D86:M86">
    <cfRule type="cellIs" dxfId="81" priority="35" operator="lessThanOrEqual">
      <formula>0</formula>
    </cfRule>
  </conditionalFormatting>
  <conditionalFormatting sqref="D92:M92">
    <cfRule type="cellIs" dxfId="80" priority="34" operator="lessThanOrEqual">
      <formula>0</formula>
    </cfRule>
  </conditionalFormatting>
  <conditionalFormatting sqref="C11:M12 D13 J13">
    <cfRule type="containsErrors" dxfId="79" priority="33">
      <formula>ISERROR(C11)</formula>
    </cfRule>
  </conditionalFormatting>
  <conditionalFormatting sqref="C12:M12 D13 J13">
    <cfRule type="cellIs" dxfId="78" priority="32" stopIfTrue="1" operator="lessThanOrEqual">
      <formula>0</formula>
    </cfRule>
  </conditionalFormatting>
  <conditionalFormatting sqref="B143:C152">
    <cfRule type="containsErrors" dxfId="77" priority="17">
      <formula>ISERROR(B143)</formula>
    </cfRule>
  </conditionalFormatting>
  <conditionalFormatting sqref="B153:C156">
    <cfRule type="containsErrors" dxfId="76" priority="16">
      <formula>ISERROR(B153)</formula>
    </cfRule>
  </conditionalFormatting>
  <conditionalFormatting sqref="B157:C160">
    <cfRule type="containsErrors" dxfId="75" priority="15">
      <formula>ISERROR(B157)</formula>
    </cfRule>
  </conditionalFormatting>
  <conditionalFormatting sqref="B161:C164">
    <cfRule type="containsErrors" dxfId="74" priority="14">
      <formula>ISERROR(B161)</formula>
    </cfRule>
  </conditionalFormatting>
  <conditionalFormatting sqref="B165:C168">
    <cfRule type="containsErrors" dxfId="73" priority="13">
      <formula>ISERROR(B165)</formula>
    </cfRule>
  </conditionalFormatting>
  <conditionalFormatting sqref="D29:D34 E29:F33 D54">
    <cfRule type="containsErrors" dxfId="72" priority="12">
      <formula>ISERROR(D29)</formula>
    </cfRule>
  </conditionalFormatting>
  <conditionalFormatting sqref="N43 N33:N34 N53 N63 N73">
    <cfRule type="containsErrors" dxfId="71" priority="11">
      <formula>ISERROR(N33)</formula>
    </cfRule>
  </conditionalFormatting>
  <conditionalFormatting sqref="D74:M74 D64:M64 D54:M54 D44:M44 D34:M34">
    <cfRule type="cellIs" dxfId="70" priority="10" stopIfTrue="1" operator="lessThanOrEqual">
      <formula>0</formula>
    </cfRule>
  </conditionalFormatting>
  <conditionalFormatting sqref="D29:F33">
    <cfRule type="cellIs" dxfId="69" priority="9" operator="lessThanOrEqual">
      <formula>0</formula>
    </cfRule>
  </conditionalFormatting>
  <conditionalFormatting sqref="D39:F43">
    <cfRule type="containsErrors" dxfId="68" priority="8">
      <formula>ISERROR(D39)</formula>
    </cfRule>
  </conditionalFormatting>
  <conditionalFormatting sqref="D39:F43">
    <cfRule type="cellIs" dxfId="67" priority="7" operator="lessThanOrEqual">
      <formula>0</formula>
    </cfRule>
  </conditionalFormatting>
  <conditionalFormatting sqref="D49:F53">
    <cfRule type="containsErrors" dxfId="66" priority="6">
      <formula>ISERROR(D49)</formula>
    </cfRule>
  </conditionalFormatting>
  <conditionalFormatting sqref="D49:F53">
    <cfRule type="cellIs" dxfId="65" priority="5" operator="lessThanOrEqual">
      <formula>0</formula>
    </cfRule>
  </conditionalFormatting>
  <conditionalFormatting sqref="D59:F63">
    <cfRule type="containsErrors" dxfId="64" priority="4">
      <formula>ISERROR(D59)</formula>
    </cfRule>
  </conditionalFormatting>
  <conditionalFormatting sqref="D59:F63">
    <cfRule type="cellIs" dxfId="63" priority="3" operator="lessThanOrEqual">
      <formula>0</formula>
    </cfRule>
  </conditionalFormatting>
  <conditionalFormatting sqref="D69:F73">
    <cfRule type="containsErrors" dxfId="62" priority="2">
      <formula>ISERROR(D69)</formula>
    </cfRule>
  </conditionalFormatting>
  <conditionalFormatting sqref="D69:F73">
    <cfRule type="cellIs" dxfId="61" priority="1" operator="lessThanOrEqual">
      <formula>0</formula>
    </cfRule>
  </conditionalFormatting>
  <dataValidations count="2">
    <dataValidation type="list" allowBlank="1" showInputMessage="1" showErrorMessage="1" sqref="C13" xr:uid="{00000000-0002-0000-1700-000000000000}">
      <formula1>Cistern</formula1>
    </dataValidation>
    <dataValidation type="list" allowBlank="1" showInputMessage="1" showErrorMessage="1" sqref="C29:C33 C69:C73 C59:C63 C49:C53 C39:C43" xr:uid="{00000000-0002-0000-1700-000001000000}">
      <formula1>$B$122:$B$134</formula1>
    </dataValidation>
  </dataValidations>
  <hyperlinks>
    <hyperlink ref="A210:J211" location="'SITE SUMMARY'!A1" display="CONTINUE TO SITE SUMMARY" xr:uid="{00000000-0004-0000-1700-000000000000}"/>
    <hyperlink ref="A213:J214" location="'SITE SUMMARY'!A1" display="CONTINUE TO SITE SUMMARY" xr:uid="{00000000-0004-0000-1700-000001000000}"/>
    <hyperlink ref="A210:L211" location="'BMP SUMMARY'!A1" display="CONTINUE TO BMP SUMMARY" xr:uid="{00000000-0004-0000-1700-000002000000}"/>
    <hyperlink ref="A207:J208" location="'DA2'!A1" display="CLICK TO ADD ANOTHER DRAINAGE AREA" xr:uid="{00000000-0004-0000-1700-000003000000}"/>
    <hyperlink ref="A207:L208" location="DA2_BMPs!A1" display="CLICK TO ADD BMPS TO ANOTHER DRAINAGE AREA" xr:uid="{00000000-0004-0000-1700-000004000000}"/>
  </hyperlinks>
  <printOptions horizontalCentered="1"/>
  <pageMargins left="0.7" right="0.7" top="0.75" bottom="0.75" header="0.3" footer="0.3"/>
  <pageSetup scale="42" fitToHeight="2" orientation="portrait" r:id="rId1"/>
  <headerFooter>
    <oddFooter>&amp;A&amp;RPage &amp;P</oddFooter>
  </headerFooter>
  <rowBreaks count="1" manualBreakCount="1">
    <brk id="54" min="1" max="12" man="1"/>
  </rowBreaks>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5">
    <tabColor rgb="FF7030A0"/>
    <pageSetUpPr fitToPage="1"/>
  </sheetPr>
  <dimension ref="A1:R171"/>
  <sheetViews>
    <sheetView zoomScale="85" zoomScaleNormal="85" workbookViewId="0">
      <selection activeCell="B24" sqref="B24"/>
    </sheetView>
  </sheetViews>
  <sheetFormatPr defaultColWidth="8.88671875" defaultRowHeight="15" x14ac:dyDescent="0.2"/>
  <cols>
    <col min="1" max="1" width="3.77734375" style="158" customWidth="1"/>
    <col min="2" max="2" width="57" style="161" bestFit="1" customWidth="1"/>
    <col min="3" max="3" width="9.33203125" style="161" bestFit="1" customWidth="1"/>
    <col min="4" max="4" width="8.33203125" style="161" customWidth="1"/>
    <col min="5" max="5" width="9.44140625" style="161" customWidth="1"/>
    <col min="6" max="12" width="8.33203125" style="161" customWidth="1"/>
    <col min="13" max="13" width="56.44140625" style="161" customWidth="1"/>
    <col min="14" max="16" width="14.77734375" style="161" customWidth="1"/>
    <col min="17" max="17" width="11.77734375" style="161" bestFit="1" customWidth="1"/>
    <col min="18" max="16384" width="8.88671875" style="161"/>
  </cols>
  <sheetData>
    <row r="1" spans="1:18" ht="16.5" thickBot="1" x14ac:dyDescent="0.3">
      <c r="B1" s="787" t="s">
        <v>31</v>
      </c>
      <c r="C1" s="787"/>
      <c r="D1" s="787"/>
      <c r="E1" s="931"/>
      <c r="F1" s="788">
        <f>'SITE DATA'!F9</f>
        <v>0</v>
      </c>
      <c r="G1" s="789"/>
      <c r="H1" s="789"/>
      <c r="I1" s="789"/>
      <c r="J1" s="789"/>
      <c r="K1" s="789"/>
      <c r="L1" s="790"/>
      <c r="M1" s="158"/>
      <c r="N1" s="158"/>
      <c r="O1" s="158"/>
      <c r="P1" s="158"/>
      <c r="Q1" s="158"/>
    </row>
    <row r="2" spans="1:18" x14ac:dyDescent="0.2">
      <c r="B2" s="158"/>
      <c r="C2" s="158"/>
      <c r="D2" s="158"/>
      <c r="E2" s="158"/>
      <c r="F2" s="158"/>
      <c r="G2" s="158"/>
      <c r="H2" s="158"/>
      <c r="I2" s="158"/>
      <c r="J2" s="158"/>
      <c r="K2" s="158"/>
      <c r="L2" s="158"/>
      <c r="M2" s="158"/>
      <c r="N2" s="158"/>
      <c r="O2" s="158"/>
      <c r="P2" s="158"/>
      <c r="Q2" s="158"/>
    </row>
    <row r="3" spans="1:18" x14ac:dyDescent="0.2">
      <c r="B3" s="158"/>
      <c r="C3" s="158"/>
      <c r="D3" s="158"/>
      <c r="E3" s="158"/>
      <c r="F3" s="158"/>
      <c r="G3" s="158"/>
      <c r="H3" s="158"/>
      <c r="I3" s="158"/>
      <c r="J3" s="158"/>
      <c r="K3" s="158"/>
      <c r="L3" s="158"/>
      <c r="M3" s="158"/>
      <c r="N3" s="158"/>
      <c r="O3" s="158"/>
      <c r="P3" s="158"/>
      <c r="Q3" s="158"/>
    </row>
    <row r="4" spans="1:18" ht="18" x14ac:dyDescent="0.25">
      <c r="B4" s="797" t="s">
        <v>358</v>
      </c>
      <c r="C4" s="797"/>
      <c r="D4" s="797"/>
      <c r="E4" s="797"/>
      <c r="F4" s="797"/>
      <c r="G4" s="797"/>
      <c r="H4" s="797"/>
      <c r="I4" s="797"/>
      <c r="J4" s="797"/>
      <c r="K4" s="797"/>
      <c r="L4" s="797"/>
      <c r="M4" s="158"/>
      <c r="N4" s="158"/>
      <c r="O4" s="158"/>
      <c r="P4" s="158"/>
    </row>
    <row r="5" spans="1:18" ht="18" x14ac:dyDescent="0.25">
      <c r="B5" s="797" t="s">
        <v>359</v>
      </c>
      <c r="C5" s="797"/>
      <c r="D5" s="797"/>
      <c r="E5" s="797"/>
      <c r="F5" s="797"/>
      <c r="G5" s="797"/>
      <c r="H5" s="797"/>
      <c r="I5" s="797"/>
      <c r="J5" s="797"/>
      <c r="K5" s="797"/>
      <c r="L5" s="797"/>
      <c r="M5" s="158"/>
      <c r="N5" s="158"/>
      <c r="O5" s="158"/>
      <c r="P5" s="158"/>
    </row>
    <row r="6" spans="1:18" x14ac:dyDescent="0.2">
      <c r="B6" s="158"/>
      <c r="C6" s="305"/>
      <c r="D6" s="158"/>
      <c r="E6" s="158"/>
      <c r="F6" s="158"/>
      <c r="G6" s="158"/>
      <c r="H6" s="158"/>
      <c r="I6" s="158"/>
      <c r="J6" s="158"/>
      <c r="K6" s="158"/>
      <c r="L6" s="158"/>
      <c r="M6" s="158"/>
      <c r="N6" s="158"/>
      <c r="O6" s="158"/>
      <c r="P6" s="158"/>
      <c r="Q6" s="158"/>
    </row>
    <row r="7" spans="1:18" ht="15.75" thickBot="1" x14ac:dyDescent="0.25">
      <c r="B7" s="158"/>
      <c r="C7" s="305"/>
      <c r="D7" s="158"/>
      <c r="E7" s="158"/>
      <c r="F7" s="158"/>
      <c r="G7" s="158"/>
      <c r="H7" s="158"/>
      <c r="I7" s="158"/>
      <c r="J7" s="158"/>
      <c r="K7" s="158"/>
      <c r="L7" s="158"/>
      <c r="M7" s="158"/>
      <c r="N7" s="158"/>
      <c r="O7" s="158"/>
      <c r="P7" s="158"/>
    </row>
    <row r="8" spans="1:18" s="306" customFormat="1" ht="37.5" customHeight="1" thickTop="1" thickBot="1" x14ac:dyDescent="0.25">
      <c r="A8" s="164"/>
      <c r="B8" s="1133" t="s">
        <v>270</v>
      </c>
      <c r="C8" s="1134"/>
      <c r="D8" s="1134"/>
      <c r="E8" s="1134"/>
      <c r="F8" s="1134"/>
      <c r="G8" s="1134"/>
      <c r="H8" s="1135"/>
      <c r="I8" s="1135"/>
      <c r="J8" s="1135"/>
      <c r="K8" s="1135"/>
      <c r="L8" s="1136"/>
      <c r="M8" s="238" t="s">
        <v>319</v>
      </c>
      <c r="N8" s="164"/>
      <c r="O8" s="164"/>
      <c r="P8" s="164"/>
      <c r="Q8" s="164"/>
    </row>
    <row r="9" spans="1:18" s="306" customFormat="1" ht="24.95" customHeight="1" thickTop="1" x14ac:dyDescent="0.2">
      <c r="A9" s="164"/>
      <c r="B9" s="1137" t="s">
        <v>181</v>
      </c>
      <c r="C9" s="1138"/>
      <c r="D9" s="1138"/>
      <c r="E9" s="1138"/>
      <c r="F9" s="1138"/>
      <c r="G9" s="1138"/>
      <c r="H9" s="1138"/>
      <c r="I9" s="1138"/>
      <c r="J9" s="1138"/>
      <c r="K9" s="1138"/>
      <c r="L9" s="1139"/>
      <c r="M9" s="1148" t="s">
        <v>522</v>
      </c>
      <c r="N9" s="164"/>
      <c r="O9" s="164"/>
      <c r="P9" s="164"/>
      <c r="Q9" s="164"/>
    </row>
    <row r="10" spans="1:18" s="310" customFormat="1" ht="24.95" customHeight="1" thickBot="1" x14ac:dyDescent="0.25">
      <c r="A10" s="309"/>
      <c r="B10" s="619" t="s">
        <v>196</v>
      </c>
      <c r="C10" s="441" t="s">
        <v>185</v>
      </c>
      <c r="D10" s="441" t="s">
        <v>186</v>
      </c>
      <c r="E10" s="441" t="s">
        <v>187</v>
      </c>
      <c r="F10" s="441" t="s">
        <v>188</v>
      </c>
      <c r="G10" s="441" t="s">
        <v>189</v>
      </c>
      <c r="H10" s="441" t="s">
        <v>190</v>
      </c>
      <c r="I10" s="441" t="s">
        <v>191</v>
      </c>
      <c r="J10" s="441" t="s">
        <v>192</v>
      </c>
      <c r="K10" s="441" t="s">
        <v>193</v>
      </c>
      <c r="L10" s="620" t="s">
        <v>194</v>
      </c>
      <c r="M10" s="1149"/>
      <c r="N10" s="309"/>
      <c r="O10" s="309"/>
      <c r="P10" s="309"/>
      <c r="Q10" s="309"/>
    </row>
    <row r="11" spans="1:18" s="309" customFormat="1" ht="24.95" customHeight="1" thickTop="1" thickBot="1" x14ac:dyDescent="0.25">
      <c r="B11" s="1140" t="s">
        <v>426</v>
      </c>
      <c r="C11" s="1141"/>
      <c r="D11" s="1141"/>
      <c r="E11" s="1141"/>
      <c r="F11" s="1141"/>
      <c r="G11" s="1141"/>
      <c r="H11" s="1141"/>
      <c r="I11" s="1141"/>
      <c r="J11" s="1141"/>
      <c r="K11" s="1141"/>
      <c r="L11" s="1142"/>
      <c r="M11" s="1149"/>
    </row>
    <row r="12" spans="1:18" ht="24.95" customHeight="1" thickTop="1" x14ac:dyDescent="0.2">
      <c r="B12" s="583" t="s">
        <v>423</v>
      </c>
      <c r="C12" s="585" t="e">
        <f>ROUND('SITE SUMMARY'!C14,2)</f>
        <v>#VALUE!</v>
      </c>
      <c r="D12" s="585" t="e">
        <f>ROUND('SITE SUMMARY'!D14,2)</f>
        <v>#VALUE!</v>
      </c>
      <c r="E12" s="585" t="e">
        <f>ROUND('SITE SUMMARY'!E14,2)</f>
        <v>#VALUE!</v>
      </c>
      <c r="F12" s="585" t="e">
        <f>ROUND('SITE SUMMARY'!F14,2)</f>
        <v>#VALUE!</v>
      </c>
      <c r="G12" s="585" t="e">
        <f>ROUND('SITE SUMMARY'!G14,2)</f>
        <v>#VALUE!</v>
      </c>
      <c r="H12" s="585" t="e">
        <f>ROUND('SITE SUMMARY'!H14,2)</f>
        <v>#VALUE!</v>
      </c>
      <c r="I12" s="585" t="e">
        <f>ROUND('SITE SUMMARY'!I14,2)</f>
        <v>#VALUE!</v>
      </c>
      <c r="J12" s="585" t="e">
        <f>ROUND('SITE SUMMARY'!J14,2)</f>
        <v>#VALUE!</v>
      </c>
      <c r="K12" s="585" t="e">
        <f>ROUND('SITE SUMMARY'!K14,2)</f>
        <v>#VALUE!</v>
      </c>
      <c r="L12" s="587" t="e">
        <f>ROUND('SITE SUMMARY'!L14,2)</f>
        <v>#VALUE!</v>
      </c>
      <c r="M12" s="1149"/>
      <c r="N12" s="321"/>
      <c r="O12" s="59"/>
      <c r="P12" s="59"/>
      <c r="Q12" s="59"/>
      <c r="R12" s="2"/>
    </row>
    <row r="13" spans="1:18" ht="24.95" customHeight="1" thickBot="1" x14ac:dyDescent="0.25">
      <c r="B13" s="583" t="s">
        <v>204</v>
      </c>
      <c r="C13" s="410" t="e">
        <f>IF(ISERROR('SITE SUMMARY'!C15),"",ROUND(('SITE SUMMARY'!C15),3))</f>
        <v>#VALUE!</v>
      </c>
      <c r="D13" s="410" t="e">
        <f>IF(ISERROR('SITE SUMMARY'!D15),"-",ROUND(('SITE SUMMARY'!D15),3))</f>
        <v>#VALUE!</v>
      </c>
      <c r="E13" s="410" t="e">
        <f>IF(ISERROR('SITE SUMMARY'!E15),"-",ROUND(('SITE SUMMARY'!E15),3))</f>
        <v>#VALUE!</v>
      </c>
      <c r="F13" s="410" t="e">
        <f>IF(ISERROR('SITE SUMMARY'!F15),"-",ROUND(('SITE SUMMARY'!F15),3))</f>
        <v>#VALUE!</v>
      </c>
      <c r="G13" s="410" t="e">
        <f>IF(ISERROR('SITE SUMMARY'!G15),"-",ROUND(('SITE SUMMARY'!G15),3))</f>
        <v>#VALUE!</v>
      </c>
      <c r="H13" s="410" t="e">
        <f>IF(ISERROR('SITE SUMMARY'!H15),"-",ROUND(('SITE SUMMARY'!H15),3))</f>
        <v>#VALUE!</v>
      </c>
      <c r="I13" s="410" t="e">
        <f>IF(ISERROR('SITE SUMMARY'!I15),"-",ROUND(('SITE SUMMARY'!I15),3))</f>
        <v>#VALUE!</v>
      </c>
      <c r="J13" s="410" t="e">
        <f>IF(ISERROR('SITE SUMMARY'!J15),"-",ROUND(('SITE SUMMARY'!J15),3))</f>
        <v>#VALUE!</v>
      </c>
      <c r="K13" s="410" t="e">
        <f>IF(ISERROR('SITE SUMMARY'!K15),"-",ROUND(('SITE SUMMARY'!K15),3))</f>
        <v>#VALUE!</v>
      </c>
      <c r="L13" s="617" t="e">
        <f>IF(ISERROR('SITE SUMMARY'!L15),"-",ROUND(('SITE SUMMARY'!L15),3))</f>
        <v>#VALUE!</v>
      </c>
      <c r="M13" s="1149"/>
      <c r="N13" s="59"/>
      <c r="O13" s="60"/>
      <c r="P13" s="60"/>
      <c r="Q13" s="60"/>
      <c r="R13" s="2"/>
    </row>
    <row r="14" spans="1:18" ht="24.95" customHeight="1" thickTop="1" thickBot="1" x14ac:dyDescent="0.25">
      <c r="B14" s="1140" t="s">
        <v>425</v>
      </c>
      <c r="C14" s="1141"/>
      <c r="D14" s="1141"/>
      <c r="E14" s="1141"/>
      <c r="F14" s="1141"/>
      <c r="G14" s="1141"/>
      <c r="H14" s="1141"/>
      <c r="I14" s="1141"/>
      <c r="J14" s="1141"/>
      <c r="K14" s="1141"/>
      <c r="L14" s="1142"/>
      <c r="M14" s="1149"/>
      <c r="N14" s="59"/>
      <c r="O14" s="60"/>
      <c r="P14" s="60"/>
      <c r="Q14" s="60"/>
      <c r="R14" s="2"/>
    </row>
    <row r="15" spans="1:18" s="327" customFormat="1" ht="24.95" customHeight="1" thickTop="1" x14ac:dyDescent="0.2">
      <c r="A15" s="326"/>
      <c r="B15" s="581" t="s">
        <v>203</v>
      </c>
      <c r="C15" s="938" t="e">
        <f>IF('SITE SUMMARY'!G35="High","NA",'SITE SUMMARY'!G36)</f>
        <v>#DIV/0!</v>
      </c>
      <c r="D15" s="938"/>
      <c r="E15" s="938"/>
      <c r="F15" s="938"/>
      <c r="G15" s="938"/>
      <c r="H15" s="938"/>
      <c r="I15" s="938"/>
      <c r="J15" s="938"/>
      <c r="K15" s="938"/>
      <c r="L15" s="939"/>
      <c r="M15" s="1149"/>
      <c r="N15" s="59"/>
      <c r="O15" s="326"/>
      <c r="P15" s="326"/>
      <c r="Q15" s="326"/>
    </row>
    <row r="16" spans="1:18" ht="24.95" hidden="1" customHeight="1" x14ac:dyDescent="0.2">
      <c r="B16" s="459" t="s">
        <v>201</v>
      </c>
      <c r="C16" s="402">
        <f>DA1_BMPs!$D$81</f>
        <v>0</v>
      </c>
      <c r="D16" s="402">
        <f>DA2_BMPs!$D$81</f>
        <v>0</v>
      </c>
      <c r="E16" s="402">
        <f>DA3_BMPs!$D$81</f>
        <v>0</v>
      </c>
      <c r="F16" s="402">
        <f>DA4_BMPs!$D$81</f>
        <v>0</v>
      </c>
      <c r="G16" s="402">
        <f>DA5_BMPs!$D$81</f>
        <v>0</v>
      </c>
      <c r="H16" s="402">
        <f>DA6_BMPs!$D$81</f>
        <v>0</v>
      </c>
      <c r="I16" s="402">
        <f>DA7_BMPs!$D$81</f>
        <v>0</v>
      </c>
      <c r="J16" s="402">
        <f>DA8_BMPs!$D$81</f>
        <v>0</v>
      </c>
      <c r="K16" s="402">
        <f>DA9_BMPs!$D$81</f>
        <v>0</v>
      </c>
      <c r="L16" s="621">
        <f>DA10_BMPs!$D$81</f>
        <v>0</v>
      </c>
      <c r="M16" s="1149"/>
      <c r="N16" s="158"/>
      <c r="O16" s="60"/>
      <c r="P16" s="60"/>
      <c r="Q16" s="60"/>
      <c r="R16" s="2"/>
    </row>
    <row r="17" spans="1:18" s="313" customFormat="1" ht="24.95" hidden="1" customHeight="1" x14ac:dyDescent="0.25">
      <c r="A17" s="231"/>
      <c r="B17" s="459" t="s">
        <v>251</v>
      </c>
      <c r="C17" s="314" t="str">
        <f>'DA1'!$H$10</f>
        <v xml:space="preserve">  </v>
      </c>
      <c r="D17" s="314" t="str">
        <f>'DA2'!$H$10</f>
        <v xml:space="preserve"> </v>
      </c>
      <c r="E17" s="314" t="str">
        <f>'DA3'!$H$10</f>
        <v xml:space="preserve"> </v>
      </c>
      <c r="F17" s="314">
        <f>'DA4'!$H$10</f>
        <v>0</v>
      </c>
      <c r="G17" s="314">
        <f>'DA5'!$H$10</f>
        <v>0</v>
      </c>
      <c r="H17" s="314">
        <f>'DA6'!$H$10</f>
        <v>0</v>
      </c>
      <c r="I17" s="314">
        <f>'DA7'!$H$10</f>
        <v>0</v>
      </c>
      <c r="J17" s="314">
        <f>'DA8'!$H$10</f>
        <v>0</v>
      </c>
      <c r="K17" s="314">
        <f>'DA9'!$H$10</f>
        <v>0</v>
      </c>
      <c r="L17" s="622">
        <f>'DA10'!$H$10</f>
        <v>0</v>
      </c>
      <c r="M17" s="1149"/>
      <c r="O17" s="318"/>
      <c r="P17" s="403"/>
      <c r="Q17" s="403"/>
      <c r="R17" s="319"/>
    </row>
    <row r="18" spans="1:18" ht="24.95" customHeight="1" x14ac:dyDescent="0.2">
      <c r="B18" s="590" t="s">
        <v>413</v>
      </c>
      <c r="C18" s="585" t="e">
        <f>ROUND(DA1_BMPs!$D$80,2)</f>
        <v>#VALUE!</v>
      </c>
      <c r="D18" s="585" t="e">
        <f>ROUND(DA2_BMPs!$D$80,2)</f>
        <v>#VALUE!</v>
      </c>
      <c r="E18" s="585" t="e">
        <f>ROUND(DA3_BMPs!$D$80,2)</f>
        <v>#VALUE!</v>
      </c>
      <c r="F18" s="585" t="e">
        <f>ROUND(DA4_BMPs!$D$80,2)</f>
        <v>#DIV/0!</v>
      </c>
      <c r="G18" s="585" t="e">
        <f>ROUND(DA5_BMPs!$D$80,2)</f>
        <v>#DIV/0!</v>
      </c>
      <c r="H18" s="585" t="e">
        <f>ROUND(DA6_BMPs!$D$80,2)</f>
        <v>#DIV/0!</v>
      </c>
      <c r="I18" s="585" t="e">
        <f>ROUND(DA7_BMPs!$D$80,2)</f>
        <v>#DIV/0!</v>
      </c>
      <c r="J18" s="585" t="e">
        <f>ROUND(DA8_BMPs!$D$80,2)</f>
        <v>#DIV/0!</v>
      </c>
      <c r="K18" s="585" t="e">
        <f>ROUND(DA9_BMPs!$D$80,2)</f>
        <v>#DIV/0!</v>
      </c>
      <c r="L18" s="587" t="e">
        <f>ROUND(DA10_BMPs!$D$80,2)</f>
        <v>#DIV/0!</v>
      </c>
      <c r="M18" s="1149"/>
      <c r="N18" s="59"/>
      <c r="O18" s="60"/>
      <c r="P18" s="60"/>
      <c r="Q18" s="60"/>
      <c r="R18" s="2"/>
    </row>
    <row r="19" spans="1:18" ht="24.95" customHeight="1" x14ac:dyDescent="0.2">
      <c r="B19" s="590" t="s">
        <v>353</v>
      </c>
      <c r="C19" s="410" t="e">
        <f>ROUND(DA1_BMPs!$D$82,3)</f>
        <v>#VALUE!</v>
      </c>
      <c r="D19" s="410">
        <f>ROUND(DA2_BMPs!$D$82,3)</f>
        <v>0</v>
      </c>
      <c r="E19" s="410">
        <f>ROUND(DA3_BMPs!$D$82,3)</f>
        <v>0</v>
      </c>
      <c r="F19" s="410">
        <f>ROUND(DA4_BMPs!$D$82,3)</f>
        <v>0</v>
      </c>
      <c r="G19" s="410">
        <f>ROUND(DA5_BMPs!$D$82,3)</f>
        <v>0</v>
      </c>
      <c r="H19" s="410">
        <f>ROUND(DA6_BMPs!$D$82,3)</f>
        <v>0</v>
      </c>
      <c r="I19" s="410">
        <f>ROUND(DA7_BMPs!$D$82,3)</f>
        <v>0</v>
      </c>
      <c r="J19" s="410">
        <f>ROUND(DA8_BMPs!$D$82,3)</f>
        <v>0</v>
      </c>
      <c r="K19" s="410">
        <f>ROUND(DA9_BMPs!$D$82,3)</f>
        <v>0</v>
      </c>
      <c r="L19" s="617">
        <f>ROUND(DA10_BMPs!$D$82,3)</f>
        <v>0</v>
      </c>
      <c r="M19" s="1149"/>
      <c r="N19" s="60"/>
      <c r="O19" s="60"/>
      <c r="P19" s="60"/>
      <c r="Q19" s="60"/>
      <c r="R19" s="44"/>
    </row>
    <row r="20" spans="1:18" s="327" customFormat="1" ht="24.95" customHeight="1" thickBot="1" x14ac:dyDescent="0.25">
      <c r="A20" s="326"/>
      <c r="B20" s="590" t="s">
        <v>409</v>
      </c>
      <c r="C20" s="938" t="e">
        <f>ROUND((C16*C17+D16*D17+E16*E17+F16*F17+G16*G17+H16*H17+I16*I17+J16*J17+K16*K17+L16*L17)/(SUM(C17:L17)),0)</f>
        <v>#VALUE!</v>
      </c>
      <c r="D20" s="938"/>
      <c r="E20" s="938"/>
      <c r="F20" s="938"/>
      <c r="G20" s="938"/>
      <c r="H20" s="938"/>
      <c r="I20" s="938"/>
      <c r="J20" s="938"/>
      <c r="K20" s="938"/>
      <c r="L20" s="939"/>
      <c r="M20" s="330" t="e">
        <f>IF(C20&gt;'SITE SUMMARY'!G36,"TARGET CURVE NUMBER REQUIREMENT NOT MET!","")</f>
        <v>#VALUE!</v>
      </c>
      <c r="N20" s="1145"/>
      <c r="O20" s="326"/>
      <c r="P20" s="326"/>
      <c r="Q20" s="326"/>
    </row>
    <row r="21" spans="1:18" ht="24.95" customHeight="1" thickTop="1" thickBot="1" x14ac:dyDescent="0.25">
      <c r="B21" s="1150" t="s">
        <v>504</v>
      </c>
      <c r="C21" s="1151"/>
      <c r="D21" s="1151"/>
      <c r="E21" s="1151"/>
      <c r="F21" s="1151"/>
      <c r="G21" s="1151"/>
      <c r="H21" s="1151"/>
      <c r="I21" s="1151"/>
      <c r="J21" s="1151"/>
      <c r="K21" s="1151"/>
      <c r="L21" s="1152"/>
      <c r="M21" s="330"/>
      <c r="N21" s="1145"/>
      <c r="O21" s="60"/>
      <c r="P21" s="60"/>
      <c r="Q21" s="60"/>
      <c r="R21" s="2"/>
    </row>
    <row r="22" spans="1:18" ht="24.95" customHeight="1" thickTop="1" x14ac:dyDescent="0.2">
      <c r="B22" s="588" t="s">
        <v>325</v>
      </c>
      <c r="C22" s="1146">
        <f>SUM(DA1_BMPs:DA10_BMPs!D77)</f>
        <v>0</v>
      </c>
      <c r="D22" s="1146"/>
      <c r="E22" s="1146"/>
      <c r="F22" s="1146"/>
      <c r="G22" s="1146"/>
      <c r="H22" s="1146"/>
      <c r="I22" s="1146"/>
      <c r="J22" s="1146"/>
      <c r="K22" s="1146"/>
      <c r="L22" s="1147"/>
      <c r="M22" s="330"/>
      <c r="N22" s="1145"/>
      <c r="O22" s="158"/>
      <c r="P22" s="158"/>
      <c r="Q22" s="158"/>
    </row>
    <row r="23" spans="1:18" ht="24.95" customHeight="1" x14ac:dyDescent="0.2">
      <c r="B23" s="582" t="s">
        <v>288</v>
      </c>
      <c r="C23" s="1001" t="e">
        <f>IF('SITE DATA'!F24="Yes",(('SITE SUMMARY'!H63*SUM('SITE SUMMARY'!G43:I51))-C22)/SUM('SITE SUMMARY'!G43:I51),(('SITE SUMMARY'!D52*SUM('SITE SUMMARY'!G43:I51))-C22)/SUM('SITE SUMMARY'!G43:I51))</f>
        <v>#DIV/0!</v>
      </c>
      <c r="D23" s="1002"/>
      <c r="E23" s="1002"/>
      <c r="F23" s="1002"/>
      <c r="G23" s="1002"/>
      <c r="H23" s="1002"/>
      <c r="I23" s="1002"/>
      <c r="J23" s="1002"/>
      <c r="K23" s="1002"/>
      <c r="L23" s="1003"/>
      <c r="M23" s="1153"/>
      <c r="N23" s="1145"/>
      <c r="O23" s="158"/>
      <c r="P23" s="158"/>
      <c r="Q23" s="158"/>
    </row>
    <row r="24" spans="1:18" ht="24.95" customHeight="1" thickBot="1" x14ac:dyDescent="0.25">
      <c r="B24" s="589" t="s">
        <v>749</v>
      </c>
      <c r="C24" s="1143" t="e">
        <f>IF('SITE DATA'!F24="No",IF(C22&gt;'SITE SUMMARY'!D54,"SITE NITROGEN HAS BEEN MITIGATED",'SITE SUMMARY'!D54-'BMP SUMMARY'!C22),IF(C22&gt;'SITE SUMMARY'!C65,"SITE NITROGEN HAS BEEN MITIGATED",'SITE SUMMARY'!C65-'BMP SUMMARY'!C22))</f>
        <v>#DIV/0!</v>
      </c>
      <c r="D24" s="1143"/>
      <c r="E24" s="1143"/>
      <c r="F24" s="1143"/>
      <c r="G24" s="1143"/>
      <c r="H24" s="1143"/>
      <c r="I24" s="1143"/>
      <c r="J24" s="1143"/>
      <c r="K24" s="1143"/>
      <c r="L24" s="1144"/>
      <c r="M24" s="1153"/>
      <c r="N24" s="1145"/>
      <c r="O24" s="158"/>
      <c r="P24" s="158"/>
      <c r="Q24" s="158"/>
    </row>
    <row r="25" spans="1:18" ht="24.75" customHeight="1" x14ac:dyDescent="0.2">
      <c r="B25" s="158"/>
      <c r="C25" s="158"/>
      <c r="D25" s="158"/>
      <c r="E25" s="158"/>
      <c r="F25" s="158"/>
      <c r="G25" s="158"/>
      <c r="H25" s="158"/>
      <c r="I25" s="158"/>
      <c r="J25" s="158"/>
      <c r="K25" s="158"/>
      <c r="L25" s="158"/>
      <c r="M25" s="158"/>
      <c r="N25" s="1145"/>
      <c r="O25" s="158"/>
      <c r="P25" s="158"/>
      <c r="Q25" s="158"/>
    </row>
    <row r="26" spans="1:18" hidden="1" x14ac:dyDescent="0.2">
      <c r="B26" s="158"/>
      <c r="C26" s="158"/>
      <c r="D26" s="158"/>
      <c r="E26" s="158"/>
      <c r="F26" s="158"/>
      <c r="G26" s="158"/>
      <c r="H26" s="158"/>
      <c r="I26" s="158"/>
      <c r="J26" s="158"/>
      <c r="K26" s="158"/>
      <c r="L26" s="158"/>
      <c r="M26" s="344"/>
      <c r="N26" s="1145"/>
      <c r="O26" s="158"/>
      <c r="P26" s="158"/>
      <c r="Q26" s="158"/>
    </row>
    <row r="27" spans="1:18" hidden="1" x14ac:dyDescent="0.2">
      <c r="B27" s="158"/>
      <c r="C27" s="158"/>
      <c r="D27" s="158"/>
      <c r="E27" s="158"/>
      <c r="F27" s="158"/>
      <c r="G27" s="158"/>
      <c r="H27" s="158"/>
      <c r="I27" s="158"/>
      <c r="J27" s="158"/>
      <c r="K27" s="158"/>
      <c r="L27" s="158"/>
      <c r="M27" s="158"/>
      <c r="N27" s="158"/>
      <c r="O27" s="158"/>
      <c r="P27" s="158"/>
      <c r="Q27" s="158"/>
    </row>
    <row r="28" spans="1:18" hidden="1" x14ac:dyDescent="0.2">
      <c r="B28" s="158"/>
      <c r="C28" s="158"/>
      <c r="D28" s="158"/>
      <c r="E28" s="158"/>
      <c r="F28" s="158"/>
      <c r="G28" s="158"/>
      <c r="H28" s="158"/>
      <c r="I28" s="158"/>
      <c r="J28" s="158"/>
      <c r="K28" s="158"/>
      <c r="L28" s="158"/>
      <c r="M28" s="347"/>
      <c r="N28" s="158"/>
      <c r="O28" s="158"/>
      <c r="P28" s="158"/>
      <c r="Q28" s="158"/>
    </row>
    <row r="29" spans="1:18" hidden="1" x14ac:dyDescent="0.2">
      <c r="B29" s="158"/>
      <c r="C29" s="158"/>
      <c r="D29" s="158"/>
      <c r="E29" s="158"/>
      <c r="F29" s="158"/>
      <c r="G29" s="158"/>
      <c r="H29" s="158"/>
      <c r="I29" s="158"/>
      <c r="J29" s="158"/>
      <c r="K29" s="158"/>
      <c r="L29" s="158"/>
      <c r="M29" s="158"/>
      <c r="N29" s="158"/>
      <c r="O29" s="158"/>
      <c r="P29" s="158"/>
      <c r="Q29" s="158"/>
      <c r="R29" s="158"/>
    </row>
    <row r="30" spans="1:18" s="348" customFormat="1" ht="20.100000000000001" customHeight="1" x14ac:dyDescent="0.2">
      <c r="B30" s="905" t="s">
        <v>452</v>
      </c>
      <c r="C30" s="905"/>
      <c r="D30" s="905"/>
      <c r="E30" s="905"/>
      <c r="F30" s="905" t="s">
        <v>453</v>
      </c>
      <c r="G30" s="905"/>
      <c r="H30" s="905"/>
      <c r="I30" s="905"/>
      <c r="J30" s="905"/>
      <c r="K30" s="905"/>
      <c r="L30" s="905"/>
    </row>
    <row r="31" spans="1:18" s="158" customFormat="1" ht="20.100000000000001" customHeight="1" x14ac:dyDescent="0.2">
      <c r="B31" s="905" t="s">
        <v>454</v>
      </c>
      <c r="C31" s="905"/>
      <c r="D31" s="905"/>
      <c r="E31" s="905"/>
      <c r="F31" s="905" t="s">
        <v>458</v>
      </c>
      <c r="G31" s="905"/>
      <c r="H31" s="905"/>
      <c r="I31" s="905"/>
      <c r="J31" s="905"/>
      <c r="K31" s="905"/>
      <c r="L31" s="905"/>
    </row>
    <row r="32" spans="1:18" s="158" customFormat="1" ht="20.100000000000001" customHeight="1" x14ac:dyDescent="0.2">
      <c r="B32" s="905" t="s">
        <v>455</v>
      </c>
      <c r="C32" s="905"/>
      <c r="D32" s="905"/>
      <c r="E32" s="905"/>
      <c r="F32" s="905" t="s">
        <v>459</v>
      </c>
      <c r="G32" s="905"/>
      <c r="H32" s="905"/>
      <c r="I32" s="905"/>
      <c r="J32" s="905"/>
      <c r="K32" s="905"/>
      <c r="L32" s="905"/>
    </row>
    <row r="33" spans="2:18" s="158" customFormat="1" ht="20.100000000000001" customHeight="1" x14ac:dyDescent="0.2">
      <c r="B33" s="905" t="s">
        <v>456</v>
      </c>
      <c r="C33" s="905"/>
      <c r="D33" s="905"/>
      <c r="E33" s="905"/>
      <c r="F33" s="905" t="s">
        <v>460</v>
      </c>
      <c r="G33" s="905"/>
      <c r="H33" s="905"/>
      <c r="I33" s="905"/>
      <c r="J33" s="905"/>
      <c r="K33" s="905"/>
      <c r="L33" s="905"/>
    </row>
    <row r="34" spans="2:18" s="158" customFormat="1" ht="20.100000000000001" customHeight="1" x14ac:dyDescent="0.2">
      <c r="B34" s="905" t="s">
        <v>457</v>
      </c>
      <c r="C34" s="905"/>
      <c r="D34" s="905"/>
      <c r="E34" s="905"/>
      <c r="F34" s="905" t="s">
        <v>461</v>
      </c>
      <c r="G34" s="905"/>
      <c r="H34" s="905"/>
      <c r="I34" s="905"/>
      <c r="J34" s="905"/>
      <c r="K34" s="905"/>
      <c r="L34" s="905"/>
    </row>
    <row r="35" spans="2:18" s="158" customFormat="1" ht="20.100000000000001" customHeight="1" x14ac:dyDescent="0.2">
      <c r="B35" s="905" t="s">
        <v>462</v>
      </c>
      <c r="C35" s="905"/>
      <c r="D35" s="905"/>
      <c r="E35" s="905"/>
      <c r="F35" s="905"/>
      <c r="G35" s="905"/>
      <c r="H35" s="905"/>
      <c r="I35" s="905"/>
      <c r="J35" s="905"/>
      <c r="K35" s="905"/>
      <c r="L35" s="905"/>
    </row>
    <row r="36" spans="2:18" x14ac:dyDescent="0.2">
      <c r="B36" s="158"/>
      <c r="C36" s="158"/>
      <c r="D36" s="158"/>
      <c r="E36" s="158"/>
      <c r="F36" s="158"/>
      <c r="G36" s="158"/>
      <c r="H36" s="158"/>
      <c r="I36" s="158"/>
      <c r="J36" s="158"/>
      <c r="K36" s="158"/>
      <c r="L36" s="158"/>
      <c r="M36" s="158"/>
      <c r="N36" s="158"/>
      <c r="O36" s="158"/>
      <c r="P36" s="158"/>
      <c r="Q36" s="158"/>
      <c r="R36" s="158"/>
    </row>
    <row r="37" spans="2:18" x14ac:dyDescent="0.2">
      <c r="B37" s="158"/>
      <c r="C37" s="158"/>
      <c r="D37" s="158"/>
      <c r="E37" s="158"/>
      <c r="F37" s="158"/>
      <c r="G37" s="158"/>
      <c r="H37" s="158"/>
      <c r="I37" s="158"/>
      <c r="J37" s="158"/>
      <c r="K37" s="158"/>
      <c r="L37" s="158"/>
      <c r="M37" s="158"/>
      <c r="N37" s="158"/>
      <c r="O37" s="158"/>
      <c r="P37" s="158"/>
      <c r="Q37" s="158"/>
      <c r="R37" s="158"/>
    </row>
    <row r="38" spans="2:18" x14ac:dyDescent="0.2">
      <c r="B38" s="158"/>
      <c r="C38" s="158"/>
      <c r="D38" s="158"/>
      <c r="E38" s="158"/>
      <c r="F38" s="158"/>
      <c r="G38" s="158"/>
      <c r="H38" s="158"/>
      <c r="I38" s="158"/>
      <c r="J38" s="158"/>
      <c r="K38" s="158"/>
      <c r="L38" s="158"/>
      <c r="M38" s="156"/>
      <c r="N38" s="156"/>
      <c r="O38" s="156"/>
      <c r="P38" s="158"/>
      <c r="Q38" s="158"/>
      <c r="R38" s="158"/>
    </row>
    <row r="39" spans="2:18" x14ac:dyDescent="0.2">
      <c r="B39" s="158"/>
      <c r="C39" s="158"/>
      <c r="D39" s="158"/>
      <c r="E39" s="158"/>
      <c r="F39" s="158"/>
      <c r="G39" s="158"/>
      <c r="H39" s="158"/>
      <c r="I39" s="158"/>
      <c r="J39" s="158"/>
      <c r="K39" s="158"/>
      <c r="L39" s="158"/>
      <c r="M39" s="156"/>
      <c r="N39" s="156"/>
      <c r="O39" s="156"/>
      <c r="P39" s="158"/>
      <c r="Q39" s="158"/>
      <c r="R39" s="158"/>
    </row>
    <row r="40" spans="2:18" x14ac:dyDescent="0.2">
      <c r="B40" s="158"/>
      <c r="C40" s="158"/>
      <c r="D40" s="158"/>
      <c r="E40" s="158"/>
      <c r="F40" s="158"/>
      <c r="G40" s="158"/>
      <c r="H40" s="158"/>
      <c r="I40" s="158"/>
      <c r="J40" s="158"/>
      <c r="K40" s="158"/>
      <c r="L40" s="158"/>
      <c r="M40" s="156"/>
      <c r="N40" s="156"/>
      <c r="O40" s="156"/>
      <c r="P40" s="158"/>
      <c r="Q40" s="158"/>
      <c r="R40" s="158"/>
    </row>
    <row r="41" spans="2:18" x14ac:dyDescent="0.2">
      <c r="B41" s="158"/>
      <c r="C41" s="158"/>
      <c r="D41" s="158"/>
      <c r="E41" s="158"/>
      <c r="F41" s="158"/>
      <c r="G41" s="158"/>
      <c r="H41" s="158"/>
      <c r="I41" s="158"/>
      <c r="J41" s="158"/>
      <c r="K41" s="158"/>
      <c r="L41" s="158"/>
      <c r="M41" s="156"/>
      <c r="N41" s="156"/>
      <c r="O41" s="156"/>
      <c r="P41" s="158"/>
      <c r="Q41" s="158"/>
      <c r="R41" s="158"/>
    </row>
    <row r="42" spans="2:18" x14ac:dyDescent="0.2">
      <c r="B42" s="158"/>
      <c r="C42" s="158"/>
      <c r="D42" s="158"/>
      <c r="E42" s="158"/>
      <c r="F42" s="158"/>
      <c r="G42" s="158"/>
      <c r="H42" s="158"/>
      <c r="I42" s="158"/>
      <c r="J42" s="158"/>
      <c r="K42" s="158"/>
      <c r="L42" s="158"/>
      <c r="M42" s="156"/>
      <c r="N42" s="156"/>
      <c r="O42" s="156"/>
      <c r="P42" s="158"/>
      <c r="Q42" s="158"/>
      <c r="R42" s="158"/>
    </row>
    <row r="43" spans="2:18" x14ac:dyDescent="0.2">
      <c r="B43" s="158"/>
      <c r="C43" s="158"/>
      <c r="D43" s="158"/>
      <c r="E43" s="158"/>
      <c r="F43" s="158"/>
      <c r="G43" s="158"/>
      <c r="H43" s="158"/>
      <c r="I43" s="158"/>
      <c r="J43" s="158"/>
      <c r="K43" s="158"/>
      <c r="L43" s="158"/>
      <c r="M43" s="156"/>
      <c r="N43" s="156"/>
      <c r="O43" s="156"/>
      <c r="P43" s="158"/>
      <c r="Q43" s="158"/>
      <c r="R43" s="158"/>
    </row>
    <row r="44" spans="2:18" x14ac:dyDescent="0.2">
      <c r="B44" s="158"/>
      <c r="C44" s="158"/>
      <c r="D44" s="158"/>
      <c r="E44" s="158"/>
      <c r="F44" s="158"/>
      <c r="G44" s="158"/>
      <c r="H44" s="158"/>
      <c r="I44" s="158"/>
      <c r="J44" s="158"/>
      <c r="K44" s="158"/>
      <c r="L44" s="158"/>
      <c r="M44" s="156"/>
      <c r="N44" s="156"/>
      <c r="O44" s="156"/>
      <c r="P44" s="158"/>
      <c r="Q44" s="158"/>
      <c r="R44" s="158"/>
    </row>
    <row r="45" spans="2:18" x14ac:dyDescent="0.2">
      <c r="B45" s="158"/>
      <c r="C45" s="158"/>
      <c r="D45" s="158"/>
      <c r="E45" s="158"/>
      <c r="F45" s="158"/>
      <c r="G45" s="158"/>
      <c r="H45" s="158"/>
      <c r="I45" s="158"/>
      <c r="J45" s="158"/>
      <c r="K45" s="158"/>
      <c r="L45" s="158"/>
      <c r="M45" s="156"/>
      <c r="N45" s="156"/>
      <c r="O45" s="156"/>
      <c r="P45" s="158"/>
      <c r="Q45" s="158"/>
      <c r="R45" s="158"/>
    </row>
    <row r="46" spans="2:18" x14ac:dyDescent="0.2">
      <c r="B46" s="158"/>
      <c r="C46" s="158"/>
      <c r="D46" s="158"/>
      <c r="E46" s="158"/>
      <c r="F46" s="158"/>
      <c r="G46" s="158"/>
      <c r="H46" s="158"/>
      <c r="I46" s="158"/>
      <c r="J46" s="158"/>
      <c r="K46" s="158"/>
      <c r="L46" s="158"/>
      <c r="M46" s="156"/>
      <c r="N46" s="156"/>
      <c r="O46" s="156"/>
      <c r="P46" s="158"/>
      <c r="Q46" s="158"/>
      <c r="R46" s="158"/>
    </row>
    <row r="47" spans="2:18" x14ac:dyDescent="0.2">
      <c r="B47" s="158"/>
      <c r="C47" s="158"/>
      <c r="D47" s="158"/>
      <c r="E47" s="158"/>
      <c r="F47" s="158"/>
      <c r="G47" s="158"/>
      <c r="H47" s="158"/>
      <c r="I47" s="158"/>
      <c r="J47" s="158"/>
      <c r="K47" s="158"/>
      <c r="L47" s="158"/>
      <c r="M47" s="156"/>
      <c r="N47" s="156"/>
      <c r="O47" s="156"/>
      <c r="P47" s="158"/>
      <c r="Q47" s="158"/>
      <c r="R47" s="158"/>
    </row>
    <row r="48" spans="2:18" x14ac:dyDescent="0.2">
      <c r="B48" s="158"/>
      <c r="C48" s="158"/>
      <c r="D48" s="158"/>
      <c r="E48" s="158"/>
      <c r="F48" s="158"/>
      <c r="G48" s="158"/>
      <c r="H48" s="158"/>
      <c r="I48" s="158"/>
      <c r="J48" s="158"/>
      <c r="K48" s="158"/>
      <c r="L48" s="158"/>
      <c r="M48" s="156"/>
      <c r="N48" s="156"/>
      <c r="O48" s="156"/>
      <c r="P48" s="158"/>
      <c r="Q48" s="158"/>
      <c r="R48" s="158"/>
    </row>
    <row r="49" spans="2:18" x14ac:dyDescent="0.2">
      <c r="B49" s="158"/>
      <c r="C49" s="158"/>
      <c r="D49" s="158"/>
      <c r="E49" s="158"/>
      <c r="F49" s="158"/>
      <c r="G49" s="158"/>
      <c r="H49" s="158"/>
      <c r="I49" s="158"/>
      <c r="J49" s="158"/>
      <c r="K49" s="158"/>
      <c r="L49" s="158"/>
      <c r="M49" s="156"/>
      <c r="N49" s="156"/>
      <c r="O49" s="156"/>
      <c r="P49" s="158"/>
      <c r="Q49" s="158"/>
      <c r="R49" s="158"/>
    </row>
    <row r="50" spans="2:18" x14ac:dyDescent="0.2">
      <c r="B50" s="158"/>
      <c r="C50" s="158"/>
      <c r="D50" s="158"/>
      <c r="E50" s="158"/>
      <c r="F50" s="158"/>
      <c r="G50" s="158"/>
      <c r="H50" s="158"/>
      <c r="I50" s="158"/>
      <c r="J50" s="158"/>
      <c r="K50" s="158"/>
      <c r="L50" s="158"/>
      <c r="M50" s="156"/>
      <c r="N50" s="156"/>
      <c r="O50" s="156"/>
      <c r="P50" s="158"/>
      <c r="Q50" s="158"/>
      <c r="R50" s="158"/>
    </row>
    <row r="51" spans="2:18" x14ac:dyDescent="0.2">
      <c r="B51" s="158"/>
      <c r="C51" s="158"/>
      <c r="D51" s="158"/>
      <c r="E51" s="158"/>
      <c r="F51" s="158"/>
      <c r="G51" s="158"/>
      <c r="H51" s="158"/>
      <c r="I51" s="158"/>
      <c r="J51" s="158"/>
      <c r="K51" s="158"/>
      <c r="L51" s="158"/>
      <c r="M51" s="191"/>
      <c r="N51" s="156"/>
      <c r="O51" s="156"/>
      <c r="P51" s="158"/>
      <c r="Q51" s="158"/>
      <c r="R51" s="158"/>
    </row>
    <row r="52" spans="2:18" x14ac:dyDescent="0.2">
      <c r="B52" s="158"/>
      <c r="C52" s="158"/>
      <c r="D52" s="158"/>
      <c r="E52" s="158"/>
      <c r="F52" s="158"/>
      <c r="G52" s="158"/>
      <c r="H52" s="158"/>
      <c r="I52" s="158"/>
      <c r="J52" s="158"/>
      <c r="K52" s="158"/>
      <c r="L52" s="158"/>
      <c r="M52" s="156"/>
      <c r="N52" s="156"/>
      <c r="O52" s="156"/>
      <c r="P52" s="158"/>
      <c r="Q52" s="158"/>
      <c r="R52" s="158"/>
    </row>
    <row r="53" spans="2:18" x14ac:dyDescent="0.2">
      <c r="B53" s="158"/>
      <c r="C53" s="158"/>
      <c r="D53" s="158"/>
      <c r="E53" s="158"/>
      <c r="F53" s="158"/>
      <c r="G53" s="158"/>
      <c r="H53" s="158"/>
      <c r="I53" s="158"/>
      <c r="J53" s="158"/>
      <c r="K53" s="158"/>
      <c r="L53" s="158"/>
      <c r="M53" s="156"/>
      <c r="N53" s="156"/>
      <c r="O53" s="156"/>
      <c r="P53" s="158"/>
      <c r="Q53" s="158"/>
      <c r="R53" s="158"/>
    </row>
    <row r="54" spans="2:18" x14ac:dyDescent="0.2">
      <c r="B54" s="158"/>
      <c r="C54" s="158"/>
      <c r="D54" s="158"/>
      <c r="E54" s="158"/>
      <c r="F54" s="158"/>
      <c r="G54" s="158"/>
      <c r="H54" s="158"/>
      <c r="I54" s="158"/>
      <c r="J54" s="158"/>
      <c r="K54" s="158"/>
      <c r="L54" s="158"/>
      <c r="M54" s="190"/>
      <c r="N54" s="156"/>
      <c r="O54" s="156"/>
      <c r="P54" s="158"/>
      <c r="Q54" s="158"/>
      <c r="R54" s="158"/>
    </row>
    <row r="55" spans="2:18" x14ac:dyDescent="0.2">
      <c r="B55" s="158"/>
      <c r="C55" s="158"/>
      <c r="D55" s="158"/>
      <c r="E55" s="158"/>
      <c r="F55" s="158"/>
      <c r="G55" s="158"/>
      <c r="H55" s="158"/>
      <c r="I55" s="158"/>
      <c r="J55" s="158"/>
      <c r="K55" s="158"/>
      <c r="L55" s="158"/>
      <c r="M55" s="159"/>
      <c r="N55" s="156"/>
      <c r="O55" s="156"/>
      <c r="P55" s="158"/>
      <c r="Q55" s="158"/>
      <c r="R55" s="158"/>
    </row>
    <row r="56" spans="2:18" x14ac:dyDescent="0.2">
      <c r="B56" s="158"/>
      <c r="C56" s="158"/>
      <c r="D56" s="158"/>
      <c r="E56" s="158"/>
      <c r="F56" s="158"/>
      <c r="G56" s="158"/>
      <c r="H56" s="158"/>
      <c r="I56" s="158"/>
      <c r="J56" s="158"/>
      <c r="K56" s="158"/>
      <c r="L56" s="158"/>
      <c r="M56" s="156"/>
      <c r="N56" s="156"/>
      <c r="O56" s="156"/>
      <c r="P56" s="158"/>
      <c r="Q56" s="158"/>
      <c r="R56" s="158"/>
    </row>
    <row r="57" spans="2:18" x14ac:dyDescent="0.2">
      <c r="B57" s="158"/>
      <c r="C57" s="158"/>
      <c r="D57" s="158"/>
      <c r="E57" s="158"/>
      <c r="F57" s="158"/>
      <c r="G57" s="158"/>
      <c r="H57" s="158"/>
      <c r="I57" s="158"/>
      <c r="J57" s="158"/>
      <c r="K57" s="158"/>
      <c r="L57" s="158"/>
      <c r="M57" s="159"/>
      <c r="N57" s="156"/>
      <c r="O57" s="156"/>
      <c r="P57" s="158"/>
      <c r="Q57" s="158"/>
      <c r="R57" s="158"/>
    </row>
    <row r="58" spans="2:18" x14ac:dyDescent="0.2">
      <c r="B58" s="158"/>
      <c r="C58" s="158"/>
      <c r="D58" s="158"/>
      <c r="E58" s="158"/>
      <c r="F58" s="158"/>
      <c r="G58" s="158"/>
      <c r="H58" s="158"/>
      <c r="I58" s="158"/>
      <c r="J58" s="158"/>
      <c r="K58" s="158"/>
      <c r="L58" s="158"/>
      <c r="M58" s="159"/>
      <c r="N58" s="156"/>
      <c r="O58" s="156"/>
      <c r="P58" s="158"/>
      <c r="Q58" s="158"/>
      <c r="R58" s="158"/>
    </row>
    <row r="59" spans="2:18" x14ac:dyDescent="0.2">
      <c r="B59" s="158"/>
      <c r="C59" s="158"/>
      <c r="D59" s="158"/>
      <c r="E59" s="158"/>
      <c r="F59" s="158"/>
      <c r="G59" s="158"/>
      <c r="H59" s="158"/>
      <c r="I59" s="158"/>
      <c r="J59" s="158"/>
      <c r="K59" s="158"/>
      <c r="L59" s="158"/>
      <c r="M59" s="159"/>
      <c r="N59" s="156"/>
      <c r="O59" s="156"/>
      <c r="P59" s="158"/>
      <c r="Q59" s="158"/>
      <c r="R59" s="158"/>
    </row>
    <row r="60" spans="2:18" x14ac:dyDescent="0.2">
      <c r="B60" s="158"/>
      <c r="C60" s="158"/>
      <c r="D60" s="158"/>
      <c r="E60" s="158"/>
      <c r="F60" s="158"/>
      <c r="G60" s="158"/>
      <c r="H60" s="158"/>
      <c r="I60" s="158"/>
      <c r="J60" s="158"/>
      <c r="K60" s="158"/>
      <c r="L60" s="158"/>
      <c r="M60" s="190"/>
      <c r="N60" s="156"/>
      <c r="O60" s="156"/>
      <c r="P60" s="158"/>
      <c r="Q60" s="158"/>
      <c r="R60" s="158"/>
    </row>
    <row r="61" spans="2:18" x14ac:dyDescent="0.2">
      <c r="B61" s="158"/>
      <c r="C61" s="158"/>
      <c r="D61" s="158"/>
      <c r="E61" s="158"/>
      <c r="F61" s="158"/>
      <c r="G61" s="158"/>
      <c r="H61" s="158"/>
      <c r="I61" s="158"/>
      <c r="J61" s="158"/>
      <c r="K61" s="158"/>
      <c r="L61" s="158"/>
      <c r="M61" s="156"/>
      <c r="N61" s="156"/>
      <c r="O61" s="156"/>
      <c r="P61" s="158"/>
      <c r="Q61" s="158"/>
      <c r="R61" s="158"/>
    </row>
    <row r="62" spans="2:18" x14ac:dyDescent="0.2">
      <c r="B62" s="158"/>
      <c r="C62" s="158"/>
      <c r="D62" s="158"/>
      <c r="E62" s="158"/>
      <c r="F62" s="158"/>
      <c r="G62" s="158"/>
      <c r="H62" s="158"/>
      <c r="I62" s="158"/>
      <c r="J62" s="158"/>
      <c r="K62" s="158"/>
      <c r="L62" s="158"/>
      <c r="M62" s="156"/>
      <c r="N62" s="156"/>
      <c r="O62" s="156"/>
      <c r="P62" s="158"/>
      <c r="Q62" s="158"/>
      <c r="R62" s="158"/>
    </row>
    <row r="63" spans="2:18" x14ac:dyDescent="0.2">
      <c r="B63" s="158"/>
      <c r="C63" s="158"/>
      <c r="D63" s="158"/>
      <c r="E63" s="158"/>
      <c r="F63" s="158"/>
      <c r="G63" s="158"/>
      <c r="H63" s="158"/>
      <c r="I63" s="158"/>
      <c r="J63" s="158"/>
      <c r="K63" s="158"/>
      <c r="L63" s="158"/>
      <c r="M63" s="156"/>
      <c r="N63" s="156"/>
      <c r="O63" s="156"/>
      <c r="P63" s="158"/>
      <c r="Q63" s="158"/>
      <c r="R63" s="158"/>
    </row>
    <row r="64" spans="2:18" x14ac:dyDescent="0.2">
      <c r="B64" s="158"/>
      <c r="C64" s="158"/>
      <c r="D64" s="158"/>
      <c r="E64" s="158"/>
      <c r="F64" s="158"/>
      <c r="G64" s="158"/>
      <c r="H64" s="158"/>
      <c r="I64" s="158"/>
      <c r="J64" s="158"/>
      <c r="K64" s="158"/>
      <c r="L64" s="158"/>
      <c r="M64" s="156"/>
      <c r="N64" s="156"/>
      <c r="O64" s="156"/>
      <c r="P64" s="158"/>
      <c r="Q64" s="158"/>
      <c r="R64" s="158"/>
    </row>
    <row r="65" spans="2:18" x14ac:dyDescent="0.2">
      <c r="B65" s="158"/>
      <c r="C65" s="158"/>
      <c r="D65" s="158"/>
      <c r="E65" s="158"/>
      <c r="F65" s="158"/>
      <c r="G65" s="158"/>
      <c r="H65" s="158"/>
      <c r="I65" s="158"/>
      <c r="J65" s="158"/>
      <c r="K65" s="158"/>
      <c r="L65" s="158"/>
      <c r="M65" s="156"/>
      <c r="N65" s="156"/>
      <c r="O65" s="156"/>
      <c r="P65" s="158"/>
      <c r="Q65" s="158"/>
      <c r="R65" s="158"/>
    </row>
    <row r="66" spans="2:18" x14ac:dyDescent="0.2">
      <c r="B66" s="158"/>
      <c r="C66" s="158"/>
      <c r="D66" s="158"/>
      <c r="E66" s="158"/>
      <c r="F66" s="158"/>
      <c r="G66" s="158"/>
      <c r="H66" s="158"/>
      <c r="I66" s="158"/>
      <c r="J66" s="158"/>
      <c r="K66" s="158"/>
      <c r="L66" s="158"/>
      <c r="M66" s="156"/>
      <c r="N66" s="156"/>
      <c r="O66" s="156"/>
      <c r="P66" s="158"/>
      <c r="Q66" s="158"/>
      <c r="R66" s="158"/>
    </row>
    <row r="67" spans="2:18" x14ac:dyDescent="0.2">
      <c r="B67" s="158"/>
      <c r="C67" s="158"/>
      <c r="D67" s="158"/>
      <c r="E67" s="158"/>
      <c r="F67" s="158"/>
      <c r="G67" s="158"/>
      <c r="H67" s="158"/>
      <c r="I67" s="158"/>
      <c r="J67" s="158"/>
      <c r="K67" s="158"/>
      <c r="L67" s="158"/>
      <c r="N67" s="158"/>
      <c r="O67" s="158"/>
      <c r="P67" s="158"/>
      <c r="Q67" s="158"/>
      <c r="R67" s="158"/>
    </row>
    <row r="68" spans="2:18" s="158" customFormat="1" x14ac:dyDescent="0.2"/>
    <row r="69" spans="2:18" s="158" customFormat="1" x14ac:dyDescent="0.2"/>
    <row r="70" spans="2:18" s="158" customFormat="1" x14ac:dyDescent="0.2"/>
    <row r="71" spans="2:18" s="158" customFormat="1" x14ac:dyDescent="0.2"/>
    <row r="72" spans="2:18" s="158" customFormat="1" x14ac:dyDescent="0.2"/>
    <row r="73" spans="2:18" s="158" customFormat="1" x14ac:dyDescent="0.2"/>
    <row r="74" spans="2:18" s="158" customFormat="1" x14ac:dyDescent="0.2"/>
    <row r="75" spans="2:18" s="158" customFormat="1" x14ac:dyDescent="0.2"/>
    <row r="76" spans="2:18" s="158" customFormat="1" x14ac:dyDescent="0.2"/>
    <row r="77" spans="2:18" s="158" customFormat="1" x14ac:dyDescent="0.2"/>
    <row r="78" spans="2:18" s="158" customFormat="1" x14ac:dyDescent="0.2"/>
    <row r="79" spans="2:18" s="158" customFormat="1" x14ac:dyDescent="0.2"/>
    <row r="80" spans="2:18" s="158" customFormat="1" x14ac:dyDescent="0.2"/>
    <row r="81" s="158" customFormat="1" x14ac:dyDescent="0.2"/>
    <row r="82" s="158" customFormat="1" x14ac:dyDescent="0.2"/>
    <row r="83" s="158" customFormat="1" x14ac:dyDescent="0.2"/>
    <row r="84" s="158" customFormat="1" x14ac:dyDescent="0.2"/>
    <row r="85" s="158" customFormat="1" x14ac:dyDescent="0.2"/>
    <row r="86" s="158" customFormat="1" x14ac:dyDescent="0.2"/>
    <row r="87" s="158" customFormat="1" x14ac:dyDescent="0.2"/>
    <row r="88" s="158" customFormat="1" x14ac:dyDescent="0.2"/>
    <row r="89" s="158" customFormat="1" x14ac:dyDescent="0.2"/>
    <row r="90" s="158" customFormat="1" x14ac:dyDescent="0.2"/>
    <row r="91" s="158" customFormat="1" x14ac:dyDescent="0.2"/>
    <row r="92" s="158" customFormat="1" x14ac:dyDescent="0.2"/>
    <row r="93" s="158" customFormat="1" x14ac:dyDescent="0.2"/>
    <row r="94" s="158" customFormat="1" x14ac:dyDescent="0.2"/>
    <row r="95" s="158" customFormat="1" x14ac:dyDescent="0.2"/>
    <row r="96" s="158" customFormat="1" x14ac:dyDescent="0.2"/>
    <row r="97" s="158" customFormat="1" x14ac:dyDescent="0.2"/>
    <row r="98" s="158" customFormat="1" x14ac:dyDescent="0.2"/>
    <row r="99" s="158" customFormat="1" x14ac:dyDescent="0.2"/>
    <row r="100" s="158" customFormat="1" x14ac:dyDescent="0.2"/>
    <row r="101" s="158" customFormat="1" x14ac:dyDescent="0.2"/>
    <row r="102" s="158" customFormat="1" x14ac:dyDescent="0.2"/>
    <row r="103" s="158" customFormat="1" x14ac:dyDescent="0.2"/>
    <row r="104" s="158" customFormat="1" x14ac:dyDescent="0.2"/>
    <row r="105" s="158" customFormat="1" x14ac:dyDescent="0.2"/>
    <row r="106" s="158" customFormat="1" x14ac:dyDescent="0.2"/>
    <row r="107" s="158" customFormat="1" x14ac:dyDescent="0.2"/>
    <row r="108" s="158" customFormat="1" x14ac:dyDescent="0.2"/>
    <row r="109" s="158" customFormat="1" x14ac:dyDescent="0.2"/>
    <row r="110" s="158" customFormat="1" x14ac:dyDescent="0.2"/>
    <row r="111" s="158" customFormat="1" x14ac:dyDescent="0.2"/>
    <row r="112" s="158" customFormat="1" x14ac:dyDescent="0.2"/>
    <row r="113" s="158" customFormat="1" x14ac:dyDescent="0.2"/>
    <row r="114" s="158" customFormat="1" x14ac:dyDescent="0.2"/>
    <row r="115" s="158" customFormat="1" x14ac:dyDescent="0.2"/>
    <row r="116" s="158" customFormat="1" x14ac:dyDescent="0.2"/>
    <row r="117" s="158" customFormat="1" x14ac:dyDescent="0.2"/>
    <row r="118" s="158" customFormat="1" x14ac:dyDescent="0.2"/>
    <row r="119" s="158" customFormat="1" x14ac:dyDescent="0.2"/>
    <row r="120" s="158" customFormat="1" x14ac:dyDescent="0.2"/>
    <row r="121" s="158" customFormat="1" x14ac:dyDescent="0.2"/>
    <row r="122" s="158" customFormat="1" x14ac:dyDescent="0.2"/>
    <row r="123" s="158" customFormat="1" x14ac:dyDescent="0.2"/>
    <row r="124" s="158" customFormat="1" x14ac:dyDescent="0.2"/>
    <row r="125" s="158" customFormat="1" x14ac:dyDescent="0.2"/>
    <row r="126" s="158" customFormat="1" x14ac:dyDescent="0.2"/>
    <row r="127" s="158" customFormat="1" x14ac:dyDescent="0.2"/>
    <row r="128" s="158" customFormat="1" x14ac:dyDescent="0.2"/>
    <row r="129" s="158" customFormat="1" x14ac:dyDescent="0.2"/>
    <row r="130" s="158" customFormat="1" x14ac:dyDescent="0.2"/>
    <row r="131" s="158" customFormat="1" x14ac:dyDescent="0.2"/>
    <row r="132" s="158" customFormat="1" x14ac:dyDescent="0.2"/>
    <row r="133" s="158" customFormat="1" x14ac:dyDescent="0.2"/>
    <row r="134" s="158" customFormat="1" x14ac:dyDescent="0.2"/>
    <row r="135" s="158" customFormat="1" x14ac:dyDescent="0.2"/>
    <row r="136" s="158" customFormat="1" x14ac:dyDescent="0.2"/>
    <row r="137" s="158" customFormat="1" x14ac:dyDescent="0.2"/>
    <row r="138" s="158" customFormat="1" x14ac:dyDescent="0.2"/>
    <row r="139" s="158" customFormat="1" x14ac:dyDescent="0.2"/>
    <row r="140" s="158" customFormat="1" x14ac:dyDescent="0.2"/>
    <row r="141" s="158" customFormat="1" x14ac:dyDescent="0.2"/>
    <row r="142" s="158" customFormat="1" x14ac:dyDescent="0.2"/>
    <row r="143" s="158" customFormat="1" x14ac:dyDescent="0.2"/>
    <row r="144" s="158" customFormat="1" x14ac:dyDescent="0.2"/>
    <row r="145" s="158" customFormat="1" x14ac:dyDescent="0.2"/>
    <row r="146" s="158" customFormat="1" x14ac:dyDescent="0.2"/>
    <row r="147" s="158" customFormat="1" x14ac:dyDescent="0.2"/>
    <row r="148" s="158" customFormat="1" x14ac:dyDescent="0.2"/>
    <row r="149" s="158" customFormat="1" x14ac:dyDescent="0.2"/>
    <row r="150" s="158" customFormat="1" x14ac:dyDescent="0.2"/>
    <row r="151" s="158" customFormat="1" x14ac:dyDescent="0.2"/>
    <row r="152" s="158" customFormat="1" x14ac:dyDescent="0.2"/>
    <row r="153" s="158" customFormat="1" x14ac:dyDescent="0.2"/>
    <row r="154" s="158" customFormat="1" x14ac:dyDescent="0.2"/>
    <row r="155" s="158" customFormat="1" x14ac:dyDescent="0.2"/>
    <row r="156" s="158" customFormat="1" x14ac:dyDescent="0.2"/>
    <row r="157" s="158" customFormat="1" x14ac:dyDescent="0.2"/>
    <row r="158" s="158" customFormat="1" x14ac:dyDescent="0.2"/>
    <row r="159" s="158" customFormat="1" x14ac:dyDescent="0.2"/>
    <row r="160" s="158" customFormat="1" x14ac:dyDescent="0.2"/>
    <row r="161" spans="13:13" s="158" customFormat="1" x14ac:dyDescent="0.2"/>
    <row r="162" spans="13:13" s="158" customFormat="1" x14ac:dyDescent="0.2"/>
    <row r="163" spans="13:13" s="158" customFormat="1" x14ac:dyDescent="0.2"/>
    <row r="164" spans="13:13" s="158" customFormat="1" x14ac:dyDescent="0.2"/>
    <row r="165" spans="13:13" s="158" customFormat="1" x14ac:dyDescent="0.2"/>
    <row r="166" spans="13:13" x14ac:dyDescent="0.2">
      <c r="M166" s="158"/>
    </row>
    <row r="167" spans="13:13" x14ac:dyDescent="0.2">
      <c r="M167" s="158"/>
    </row>
    <row r="168" spans="13:13" x14ac:dyDescent="0.2">
      <c r="M168" s="158"/>
    </row>
    <row r="169" spans="13:13" x14ac:dyDescent="0.2">
      <c r="M169" s="158"/>
    </row>
    <row r="170" spans="13:13" x14ac:dyDescent="0.2">
      <c r="M170" s="158"/>
    </row>
    <row r="171" spans="13:13" x14ac:dyDescent="0.2">
      <c r="M171" s="158"/>
    </row>
  </sheetData>
  <sheetProtection password="E421" sheet="1" objects="1" scenarios="1"/>
  <mergeCells count="28">
    <mergeCell ref="C24:L24"/>
    <mergeCell ref="N20:N26"/>
    <mergeCell ref="C22:L22"/>
    <mergeCell ref="C20:L20"/>
    <mergeCell ref="M9:M19"/>
    <mergeCell ref="C15:L15"/>
    <mergeCell ref="C23:L23"/>
    <mergeCell ref="B21:L21"/>
    <mergeCell ref="M23:M24"/>
    <mergeCell ref="B1:E1"/>
    <mergeCell ref="F1:L1"/>
    <mergeCell ref="B8:L8"/>
    <mergeCell ref="B9:L9"/>
    <mergeCell ref="B14:L14"/>
    <mergeCell ref="B11:L11"/>
    <mergeCell ref="B4:L4"/>
    <mergeCell ref="B5:L5"/>
    <mergeCell ref="B30:E30"/>
    <mergeCell ref="F30:L30"/>
    <mergeCell ref="B31:E31"/>
    <mergeCell ref="F31:L31"/>
    <mergeCell ref="B32:E32"/>
    <mergeCell ref="F32:L32"/>
    <mergeCell ref="B33:E33"/>
    <mergeCell ref="F33:L33"/>
    <mergeCell ref="B34:E34"/>
    <mergeCell ref="F34:L34"/>
    <mergeCell ref="B35:L35"/>
  </mergeCells>
  <conditionalFormatting sqref="C22:C23 D22:L22">
    <cfRule type="cellIs" dxfId="60" priority="154" stopIfTrue="1" operator="lessThanOrEqual">
      <formula>0</formula>
    </cfRule>
    <cfRule type="containsErrors" dxfId="59" priority="155" stopIfTrue="1">
      <formula>ISERROR(C22)</formula>
    </cfRule>
  </conditionalFormatting>
  <conditionalFormatting sqref="M20">
    <cfRule type="containsErrors" dxfId="58" priority="152">
      <formula>ISERROR(M20)</formula>
    </cfRule>
  </conditionalFormatting>
  <conditionalFormatting sqref="F1:L1">
    <cfRule type="containsText" dxfId="57" priority="109" operator="containsText" text="0">
      <formula>NOT(ISERROR(SEARCH("0",F1)))</formula>
    </cfRule>
  </conditionalFormatting>
  <conditionalFormatting sqref="C18:L19">
    <cfRule type="containsErrors" dxfId="56" priority="27" stopIfTrue="1">
      <formula>ISERROR(C18)</formula>
    </cfRule>
  </conditionalFormatting>
  <conditionalFormatting sqref="C12:L13">
    <cfRule type="containsErrors" dxfId="55" priority="28">
      <formula>ISERROR(C12)</formula>
    </cfRule>
  </conditionalFormatting>
  <conditionalFormatting sqref="C12:L13 C18:L19">
    <cfRule type="cellIs" dxfId="54" priority="26" stopIfTrue="1" operator="lessThanOrEqual">
      <formula>0</formula>
    </cfRule>
  </conditionalFormatting>
  <conditionalFormatting sqref="C18:L18">
    <cfRule type="cellIs" dxfId="53" priority="29" operator="greaterThan">
      <formula>$C$12</formula>
    </cfRule>
  </conditionalFormatting>
  <conditionalFormatting sqref="D18">
    <cfRule type="cellIs" dxfId="52" priority="25" operator="greaterThan">
      <formula>$D$12</formula>
    </cfRule>
  </conditionalFormatting>
  <conditionalFormatting sqref="E18">
    <cfRule type="cellIs" dxfId="51" priority="24" operator="greaterThan">
      <formula>$E$12</formula>
    </cfRule>
  </conditionalFormatting>
  <conditionalFormatting sqref="F18">
    <cfRule type="cellIs" dxfId="50" priority="23" operator="greaterThan">
      <formula>$F$12</formula>
    </cfRule>
  </conditionalFormatting>
  <conditionalFormatting sqref="G18">
    <cfRule type="cellIs" dxfId="49" priority="22" operator="greaterThan">
      <formula>$G$12</formula>
    </cfRule>
  </conditionalFormatting>
  <conditionalFormatting sqref="H18">
    <cfRule type="cellIs" dxfId="48" priority="21" operator="greaterThan">
      <formula>$H$12</formula>
    </cfRule>
  </conditionalFormatting>
  <conditionalFormatting sqref="I18">
    <cfRule type="cellIs" dxfId="47" priority="20" operator="greaterThan">
      <formula>$I$12</formula>
    </cfRule>
  </conditionalFormatting>
  <conditionalFormatting sqref="J18">
    <cfRule type="cellIs" dxfId="46" priority="19" operator="greaterThan">
      <formula>$J$12</formula>
    </cfRule>
  </conditionalFormatting>
  <conditionalFormatting sqref="K18">
    <cfRule type="cellIs" dxfId="45" priority="18" operator="greaterThan">
      <formula>$K$12</formula>
    </cfRule>
  </conditionalFormatting>
  <conditionalFormatting sqref="L18">
    <cfRule type="cellIs" dxfId="44" priority="17" operator="greaterThan">
      <formula>$L$12</formula>
    </cfRule>
  </conditionalFormatting>
  <conditionalFormatting sqref="C19:L19">
    <cfRule type="cellIs" dxfId="43" priority="16" operator="greaterThan">
      <formula>$C$13</formula>
    </cfRule>
  </conditionalFormatting>
  <conditionalFormatting sqref="D19">
    <cfRule type="cellIs" dxfId="42" priority="15" operator="greaterThan">
      <formula>$D$13</formula>
    </cfRule>
  </conditionalFormatting>
  <conditionalFormatting sqref="E19">
    <cfRule type="cellIs" dxfId="41" priority="14" operator="greaterThan">
      <formula>$E$13</formula>
    </cfRule>
  </conditionalFormatting>
  <conditionalFormatting sqref="F19">
    <cfRule type="cellIs" dxfId="40" priority="13" operator="greaterThan">
      <formula>$F$13</formula>
    </cfRule>
  </conditionalFormatting>
  <conditionalFormatting sqref="G19">
    <cfRule type="cellIs" dxfId="39" priority="12" operator="greaterThan">
      <formula>$G$13</formula>
    </cfRule>
  </conditionalFormatting>
  <conditionalFormatting sqref="H19">
    <cfRule type="cellIs" dxfId="38" priority="11" operator="greaterThan">
      <formula>$H$13</formula>
    </cfRule>
  </conditionalFormatting>
  <conditionalFormatting sqref="I19">
    <cfRule type="cellIs" dxfId="37" priority="10" operator="greaterThan">
      <formula>$I$13</formula>
    </cfRule>
  </conditionalFormatting>
  <conditionalFormatting sqref="J19">
    <cfRule type="cellIs" dxfId="36" priority="9" operator="greaterThan">
      <formula>$J$13</formula>
    </cfRule>
  </conditionalFormatting>
  <conditionalFormatting sqref="K19">
    <cfRule type="cellIs" dxfId="35" priority="8" operator="greaterThan">
      <formula>$K$13</formula>
    </cfRule>
  </conditionalFormatting>
  <conditionalFormatting sqref="L19">
    <cfRule type="cellIs" dxfId="34" priority="7" operator="greaterThan">
      <formula>$L$13</formula>
    </cfRule>
  </conditionalFormatting>
  <conditionalFormatting sqref="C20:L20">
    <cfRule type="cellIs" dxfId="33" priority="3" operator="greaterThan">
      <formula>$C$15</formula>
    </cfRule>
    <cfRule type="containsErrors" dxfId="32" priority="5" stopIfTrue="1">
      <formula>ISERROR(C20)</formula>
    </cfRule>
    <cfRule type="cellIs" dxfId="31" priority="6" stopIfTrue="1" operator="lessThanOrEqual">
      <formula>0</formula>
    </cfRule>
  </conditionalFormatting>
  <conditionalFormatting sqref="C15:L15">
    <cfRule type="containsErrors" dxfId="30" priority="2">
      <formula>ISERROR(C15)</formula>
    </cfRule>
  </conditionalFormatting>
  <conditionalFormatting sqref="C24:L24">
    <cfRule type="containsErrors" dxfId="29" priority="1" stopIfTrue="1">
      <formula>ISERROR(C24)</formula>
    </cfRule>
  </conditionalFormatting>
  <hyperlinks>
    <hyperlink ref="B30:E30" location="DA1_BMPs!A1" display="CLICK TO EDIT DA1_BMPs" xr:uid="{00000000-0004-0000-1800-000000000000}"/>
    <hyperlink ref="F30:L30" location="DA6_BMPs!A1" display="CLICK TO EDIT DA6_BMPs" xr:uid="{00000000-0004-0000-1800-000001000000}"/>
    <hyperlink ref="B35:L35" location="'LID SUMMARY'!A1" display="CONTINUE TO LID SUMMARY" xr:uid="{00000000-0004-0000-1800-000002000000}"/>
    <hyperlink ref="B31:E34" location="'DA1'!A1" display="CLICK TO EDIT DA 1" xr:uid="{00000000-0004-0000-1800-000003000000}"/>
    <hyperlink ref="F31:L34" location="'DA6'!A1" display="CLICK TO EDIT DA 6" xr:uid="{00000000-0004-0000-1800-000004000000}"/>
    <hyperlink ref="B31:E31" location="DA2_BMPs!A1" display="CLICK TO EDIT DA2_BMPs" xr:uid="{00000000-0004-0000-1800-000005000000}"/>
    <hyperlink ref="B32:E32" location="DA3_BMPs!A1" display="CLICK TO EDIT DA3_BMPs" xr:uid="{00000000-0004-0000-1800-000006000000}"/>
    <hyperlink ref="B33:E33" location="DA4_BMPs!A1" display="CLICK TO EDIT DA4_BMPs" xr:uid="{00000000-0004-0000-1800-000007000000}"/>
    <hyperlink ref="B34:E34" location="DA5_BMPs!A1" display="CLICK TO EDIT DA5_BMPs" xr:uid="{00000000-0004-0000-1800-000008000000}"/>
    <hyperlink ref="F31:L31" location="DA7_BMPs!A1" display="CLICK TO EDIT DA7_BMPs" xr:uid="{00000000-0004-0000-1800-000009000000}"/>
    <hyperlink ref="F32:L32" location="DA8_BMPs!A1" display="CLICK TO EDIT DA8_BMPs" xr:uid="{00000000-0004-0000-1800-00000A000000}"/>
    <hyperlink ref="F33:L33" location="DA9_BMPs!A1" display="CLICK TO EDIT DA9_BMPs" xr:uid="{00000000-0004-0000-1800-00000B000000}"/>
    <hyperlink ref="F34:L34" location="DA10_BMPs!A1" display="CLICK TO EDIT DA10_BMPs" xr:uid="{00000000-0004-0000-1800-00000C000000}"/>
  </hyperlinks>
  <printOptions horizontalCentered="1"/>
  <pageMargins left="0.7" right="0.7" top="0.75" bottom="0.75" header="0.3" footer="0.3"/>
  <pageSetup scale="78" orientation="landscape" r:id="rId1"/>
  <headerFooter>
    <oddFooter>&amp;A&amp;RPage &amp;P</oddFooter>
  </headerFooter>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00B050"/>
  </sheetPr>
  <dimension ref="A1:Z252"/>
  <sheetViews>
    <sheetView topLeftCell="A6" zoomScaleNormal="100" workbookViewId="0">
      <selection activeCell="B22" sqref="B22"/>
    </sheetView>
  </sheetViews>
  <sheetFormatPr defaultColWidth="8.88671875" defaultRowHeight="15" x14ac:dyDescent="0.2"/>
  <cols>
    <col min="1" max="1" width="3.88671875" style="158" customWidth="1"/>
    <col min="2" max="2" width="38.88671875" style="161" bestFit="1" customWidth="1"/>
    <col min="3" max="3" width="8.88671875" style="161" customWidth="1"/>
    <col min="4" max="4" width="9" style="161" bestFit="1" customWidth="1"/>
    <col min="5" max="11" width="8.88671875" style="161"/>
    <col min="12" max="12" width="8.88671875" style="161" customWidth="1"/>
    <col min="13" max="13" width="69.44140625" style="158" bestFit="1" customWidth="1"/>
    <col min="14" max="26" width="8.88671875" style="158"/>
    <col min="27" max="16384" width="8.88671875" style="161"/>
  </cols>
  <sheetData>
    <row r="1" spans="1:26" ht="16.5" thickBot="1" x14ac:dyDescent="0.3">
      <c r="B1" s="158"/>
      <c r="C1" s="158"/>
      <c r="D1" s="160"/>
      <c r="E1" s="160"/>
      <c r="F1" s="160"/>
      <c r="G1" s="61"/>
      <c r="H1" s="62" t="s">
        <v>31</v>
      </c>
      <c r="I1" s="1107">
        <f>'SITE DATA'!F9</f>
        <v>0</v>
      </c>
      <c r="J1" s="1108"/>
      <c r="K1" s="1108"/>
      <c r="L1" s="1109"/>
    </row>
    <row r="2" spans="1:26" x14ac:dyDescent="0.2">
      <c r="B2" s="158"/>
      <c r="C2" s="158"/>
      <c r="D2" s="160"/>
      <c r="E2" s="160"/>
      <c r="F2" s="160"/>
      <c r="G2" s="158"/>
      <c r="H2" s="158"/>
      <c r="I2" s="158"/>
      <c r="J2" s="158"/>
      <c r="K2" s="158"/>
      <c r="L2" s="158"/>
    </row>
    <row r="3" spans="1:26" x14ac:dyDescent="0.2">
      <c r="B3" s="158"/>
      <c r="C3" s="158"/>
      <c r="D3" s="160"/>
      <c r="E3" s="160"/>
      <c r="F3" s="160"/>
      <c r="G3" s="158"/>
      <c r="H3" s="158"/>
      <c r="I3" s="158"/>
      <c r="J3" s="158"/>
      <c r="K3" s="158"/>
      <c r="L3" s="158"/>
    </row>
    <row r="4" spans="1:26" ht="18" x14ac:dyDescent="0.25">
      <c r="B4" s="797" t="s">
        <v>324</v>
      </c>
      <c r="C4" s="797"/>
      <c r="D4" s="797"/>
      <c r="E4" s="797"/>
      <c r="F4" s="797"/>
      <c r="G4" s="797"/>
      <c r="H4" s="797"/>
      <c r="I4" s="797"/>
      <c r="J4" s="797"/>
      <c r="K4" s="797"/>
      <c r="L4" s="797"/>
    </row>
    <row r="5" spans="1:26" ht="18.75" thickBot="1" x14ac:dyDescent="0.3">
      <c r="B5" s="797"/>
      <c r="C5" s="797"/>
      <c r="D5" s="797"/>
      <c r="E5" s="797"/>
      <c r="F5" s="797"/>
      <c r="G5" s="797"/>
      <c r="H5" s="797"/>
      <c r="I5" s="797"/>
      <c r="J5" s="797"/>
      <c r="K5" s="797"/>
      <c r="L5" s="797"/>
    </row>
    <row r="6" spans="1:26" s="306" customFormat="1" ht="24.95" customHeight="1" thickBot="1" x14ac:dyDescent="0.25">
      <c r="A6" s="164"/>
      <c r="B6" s="1187" t="s">
        <v>181</v>
      </c>
      <c r="C6" s="1188"/>
      <c r="D6" s="1188"/>
      <c r="E6" s="1188"/>
      <c r="F6" s="1188"/>
      <c r="G6" s="1188"/>
      <c r="H6" s="1188"/>
      <c r="I6" s="1188"/>
      <c r="J6" s="1188"/>
      <c r="K6" s="1188"/>
      <c r="L6" s="1189"/>
      <c r="M6" s="164"/>
      <c r="N6" s="164"/>
      <c r="O6" s="164"/>
      <c r="P6" s="164"/>
      <c r="Q6" s="164"/>
      <c r="R6" s="164"/>
      <c r="S6" s="164"/>
      <c r="T6" s="164"/>
      <c r="U6" s="164"/>
      <c r="V6" s="164"/>
      <c r="W6" s="164"/>
      <c r="X6" s="164"/>
      <c r="Y6" s="164"/>
      <c r="Z6" s="164"/>
    </row>
    <row r="7" spans="1:26" s="310" customFormat="1" ht="24.95" customHeight="1" x14ac:dyDescent="0.2">
      <c r="A7" s="309"/>
      <c r="B7" s="457" t="s">
        <v>196</v>
      </c>
      <c r="C7" s="52" t="s">
        <v>185</v>
      </c>
      <c r="D7" s="52" t="s">
        <v>186</v>
      </c>
      <c r="E7" s="52" t="s">
        <v>187</v>
      </c>
      <c r="F7" s="52" t="s">
        <v>188</v>
      </c>
      <c r="G7" s="52" t="s">
        <v>189</v>
      </c>
      <c r="H7" s="52" t="s">
        <v>190</v>
      </c>
      <c r="I7" s="52" t="s">
        <v>191</v>
      </c>
      <c r="J7" s="52" t="s">
        <v>192</v>
      </c>
      <c r="K7" s="52" t="s">
        <v>193</v>
      </c>
      <c r="L7" s="458" t="s">
        <v>194</v>
      </c>
      <c r="M7" s="309"/>
      <c r="N7" s="309"/>
      <c r="O7" s="309"/>
      <c r="P7" s="309"/>
      <c r="Q7" s="309"/>
      <c r="R7" s="309"/>
      <c r="S7" s="309"/>
      <c r="T7" s="309"/>
      <c r="U7" s="309"/>
      <c r="V7" s="309"/>
      <c r="W7" s="309"/>
      <c r="X7" s="309"/>
      <c r="Y7" s="309"/>
      <c r="Z7" s="309"/>
    </row>
    <row r="8" spans="1:26" s="309" customFormat="1" ht="24.95" customHeight="1" x14ac:dyDescent="0.2">
      <c r="B8" s="940" t="s">
        <v>183</v>
      </c>
      <c r="C8" s="941"/>
      <c r="D8" s="941"/>
      <c r="E8" s="941"/>
      <c r="F8" s="941"/>
      <c r="G8" s="941"/>
      <c r="H8" s="941"/>
      <c r="I8" s="941"/>
      <c r="J8" s="941"/>
      <c r="K8" s="941"/>
      <c r="L8" s="942"/>
    </row>
    <row r="9" spans="1:26" ht="24.95" customHeight="1" x14ac:dyDescent="0.2">
      <c r="B9" s="624" t="s">
        <v>336</v>
      </c>
      <c r="C9" s="626">
        <f>IF(ISERROR('DA1'!$D$87),0,'DA1'!$D$87)</f>
        <v>0</v>
      </c>
      <c r="D9" s="626">
        <f>IF(ISERROR('DA2'!$D$87),0,'DA2'!$D$87)</f>
        <v>0</v>
      </c>
      <c r="E9" s="626">
        <f>IF(ISERROR('DA3'!$D$87),0,'DA3'!$D$87)</f>
        <v>0</v>
      </c>
      <c r="F9" s="626">
        <f>IF(ISERROR('DA4'!$D$87),0,'DA4'!$D$87)</f>
        <v>0</v>
      </c>
      <c r="G9" s="626">
        <f>IF(ISERROR('DA5'!$D$87),0,'DA5'!$D$87)</f>
        <v>0</v>
      </c>
      <c r="H9" s="626">
        <f>IF(ISERROR('DA6'!$D$87),0,'DA6'!$D$87)</f>
        <v>0</v>
      </c>
      <c r="I9" s="626">
        <f>IF(ISERROR('DA7'!$D$87),0,'DA7'!$D$87)</f>
        <v>0</v>
      </c>
      <c r="J9" s="626">
        <f>IF(ISERROR('DA8'!$D$87),0,'DA8'!$D$87)</f>
        <v>0</v>
      </c>
      <c r="K9" s="626">
        <f>IF(ISERROR('DA9'!$D$87),0,'DA9'!$D$87)</f>
        <v>0</v>
      </c>
      <c r="L9" s="627">
        <f>IF(ISERROR('DA10'!$D$87),0,'DA10'!$D$87)</f>
        <v>0</v>
      </c>
      <c r="M9" s="59"/>
      <c r="N9" s="59"/>
      <c r="O9" s="242"/>
    </row>
    <row r="10" spans="1:26" s="291" customFormat="1" ht="24.95" hidden="1" customHeight="1" x14ac:dyDescent="0.2">
      <c r="A10" s="166"/>
      <c r="B10" s="635">
        <v>0.1</v>
      </c>
      <c r="C10" s="404">
        <f>(0.1*C9)+C9</f>
        <v>0</v>
      </c>
      <c r="D10" s="404">
        <f t="shared" ref="D10:L10" si="0">(0.1*D9)+D9</f>
        <v>0</v>
      </c>
      <c r="E10" s="404">
        <f t="shared" si="0"/>
        <v>0</v>
      </c>
      <c r="F10" s="404">
        <f t="shared" si="0"/>
        <v>0</v>
      </c>
      <c r="G10" s="404">
        <f t="shared" si="0"/>
        <v>0</v>
      </c>
      <c r="H10" s="404">
        <f t="shared" si="0"/>
        <v>0</v>
      </c>
      <c r="I10" s="404">
        <f t="shared" si="0"/>
        <v>0</v>
      </c>
      <c r="J10" s="404">
        <f t="shared" si="0"/>
        <v>0</v>
      </c>
      <c r="K10" s="404">
        <f t="shared" si="0"/>
        <v>0</v>
      </c>
      <c r="L10" s="636">
        <f t="shared" si="0"/>
        <v>0</v>
      </c>
      <c r="M10" s="243"/>
      <c r="N10" s="243"/>
      <c r="O10" s="243"/>
      <c r="P10" s="166"/>
      <c r="Q10" s="166"/>
      <c r="R10" s="166"/>
      <c r="S10" s="166"/>
      <c r="T10" s="166"/>
      <c r="U10" s="166"/>
      <c r="V10" s="166"/>
      <c r="W10" s="166"/>
      <c r="X10" s="166"/>
      <c r="Y10" s="166"/>
      <c r="Z10" s="166"/>
    </row>
    <row r="11" spans="1:26" ht="24.95" customHeight="1" x14ac:dyDescent="0.2">
      <c r="B11" s="623" t="s">
        <v>299</v>
      </c>
      <c r="C11" s="628">
        <f>IF(ISERROR('DA1'!$D$88),0,'DA1'!$D$88)</f>
        <v>0</v>
      </c>
      <c r="D11" s="628">
        <f>IF(ISERROR('DA2'!$D$88),0,'DA2'!$D$88)</f>
        <v>0</v>
      </c>
      <c r="E11" s="628">
        <f>IF(ISERROR('DA3'!$D$88),0,'DA3'!$D$88)</f>
        <v>0</v>
      </c>
      <c r="F11" s="628">
        <f>IF(ISERROR('DA4'!$D$88),0,'DA4'!$D$88)</f>
        <v>0</v>
      </c>
      <c r="G11" s="628">
        <f>IF(ISERROR('DA5'!$D$88),0,'DA5'!$D$88)</f>
        <v>0</v>
      </c>
      <c r="H11" s="628">
        <f>IF(ISERROR('DA6'!$D$88),0,'DA6'!$D$88)</f>
        <v>0</v>
      </c>
      <c r="I11" s="628">
        <f>IF(ISERROR('DA7'!$D$88),0,'DA7'!$D$88)</f>
        <v>0</v>
      </c>
      <c r="J11" s="628">
        <f>IF(ISERROR('DA8'!$D$88),0,'DA8'!$D$88)</f>
        <v>0</v>
      </c>
      <c r="K11" s="628">
        <f>IF(ISERROR('DA9'!$D$88),0,'DA9'!$D$88)</f>
        <v>0</v>
      </c>
      <c r="L11" s="629">
        <f>IF(ISERROR('DA10'!$D$88),0,'DA10'!$D$88)</f>
        <v>0</v>
      </c>
      <c r="M11" s="59"/>
      <c r="N11" s="59"/>
      <c r="O11" s="242"/>
    </row>
    <row r="12" spans="1:26" ht="24.95" customHeight="1" x14ac:dyDescent="0.2">
      <c r="B12" s="623" t="s">
        <v>326</v>
      </c>
      <c r="C12" s="410">
        <f>IF(ISERROR('DA1'!$D$89),0,'DA1'!$D$89)</f>
        <v>0</v>
      </c>
      <c r="D12" s="410">
        <f>IF(ISERROR('DA2'!$D$89),0,'DA2'!$D$89)</f>
        <v>0</v>
      </c>
      <c r="E12" s="410">
        <f>IF(ISERROR('DA3'!$D$89),0,'DA3'!$D$89)</f>
        <v>0</v>
      </c>
      <c r="F12" s="410">
        <f>IF(ISERROR('DA4'!$D$89),0,'DA4'!$D$89)</f>
        <v>0</v>
      </c>
      <c r="G12" s="410">
        <f>IF(ISERROR('DA5'!$D$89),0,'DA5'!$D$89)</f>
        <v>0</v>
      </c>
      <c r="H12" s="410">
        <f>IF(ISERROR('DA6'!$D$89),0,'DA6'!$D$89)</f>
        <v>0</v>
      </c>
      <c r="I12" s="410">
        <f>IF(ISERROR('DA7'!$D$89),0,'DA7'!$D$89)</f>
        <v>0</v>
      </c>
      <c r="J12" s="410">
        <f>IF(ISERROR('DA8'!$D$89),0,'DA8'!$D$89)</f>
        <v>0</v>
      </c>
      <c r="K12" s="410">
        <f>IF(ISERROR('DA9'!$D$89),0,'DA9'!$D$89)</f>
        <v>0</v>
      </c>
      <c r="L12" s="617">
        <f>IF(ISERROR('DA10'!$D$89),0,'DA10'!$D$89)</f>
        <v>0</v>
      </c>
      <c r="M12" s="60"/>
      <c r="N12" s="60"/>
      <c r="O12" s="242"/>
    </row>
    <row r="13" spans="1:26" s="291" customFormat="1" ht="24.95" hidden="1" customHeight="1" x14ac:dyDescent="0.2">
      <c r="A13" s="166"/>
      <c r="B13" s="635">
        <v>0.1</v>
      </c>
      <c r="C13" s="404">
        <f t="shared" ref="C13:L13" si="1">(0.1*C12)+C12</f>
        <v>0</v>
      </c>
      <c r="D13" s="404">
        <f t="shared" si="1"/>
        <v>0</v>
      </c>
      <c r="E13" s="404">
        <f t="shared" si="1"/>
        <v>0</v>
      </c>
      <c r="F13" s="404">
        <f t="shared" si="1"/>
        <v>0</v>
      </c>
      <c r="G13" s="404">
        <f t="shared" si="1"/>
        <v>0</v>
      </c>
      <c r="H13" s="404">
        <f t="shared" si="1"/>
        <v>0</v>
      </c>
      <c r="I13" s="404">
        <f t="shared" si="1"/>
        <v>0</v>
      </c>
      <c r="J13" s="404">
        <f t="shared" si="1"/>
        <v>0</v>
      </c>
      <c r="K13" s="404">
        <f t="shared" si="1"/>
        <v>0</v>
      </c>
      <c r="L13" s="636">
        <f t="shared" si="1"/>
        <v>0</v>
      </c>
      <c r="M13" s="243"/>
      <c r="N13" s="243"/>
      <c r="O13" s="243"/>
      <c r="P13" s="166"/>
      <c r="Q13" s="166"/>
      <c r="R13" s="166"/>
      <c r="S13" s="166"/>
      <c r="T13" s="166"/>
      <c r="U13" s="166"/>
      <c r="V13" s="166"/>
      <c r="W13" s="166"/>
      <c r="X13" s="166"/>
      <c r="Y13" s="166"/>
      <c r="Z13" s="166"/>
    </row>
    <row r="14" spans="1:26" s="291" customFormat="1" ht="24.95" hidden="1" customHeight="1" x14ac:dyDescent="0.2">
      <c r="A14" s="166"/>
      <c r="B14" s="635">
        <v>0.1</v>
      </c>
      <c r="C14" s="404">
        <f>(0.1*C11)+C11</f>
        <v>0</v>
      </c>
      <c r="D14" s="404">
        <f t="shared" ref="D14:L14" si="2">(0.1*D11)+D11</f>
        <v>0</v>
      </c>
      <c r="E14" s="404">
        <f t="shared" si="2"/>
        <v>0</v>
      </c>
      <c r="F14" s="404">
        <f t="shared" si="2"/>
        <v>0</v>
      </c>
      <c r="G14" s="404">
        <f t="shared" si="2"/>
        <v>0</v>
      </c>
      <c r="H14" s="404">
        <f t="shared" si="2"/>
        <v>0</v>
      </c>
      <c r="I14" s="404">
        <f t="shared" si="2"/>
        <v>0</v>
      </c>
      <c r="J14" s="404">
        <f t="shared" si="2"/>
        <v>0</v>
      </c>
      <c r="K14" s="404">
        <f t="shared" si="2"/>
        <v>0</v>
      </c>
      <c r="L14" s="636">
        <f t="shared" si="2"/>
        <v>0</v>
      </c>
      <c r="M14" s="243"/>
      <c r="N14" s="243"/>
      <c r="O14" s="243"/>
      <c r="P14" s="166"/>
      <c r="Q14" s="166"/>
      <c r="R14" s="166"/>
      <c r="S14" s="166"/>
      <c r="T14" s="166"/>
      <c r="U14" s="166"/>
      <c r="V14" s="166"/>
      <c r="W14" s="166"/>
      <c r="X14" s="166"/>
      <c r="Y14" s="166"/>
      <c r="Z14" s="166"/>
    </row>
    <row r="15" spans="1:26" ht="24.95" customHeight="1" x14ac:dyDescent="0.2">
      <c r="B15" s="940" t="s">
        <v>184</v>
      </c>
      <c r="C15" s="941"/>
      <c r="D15" s="941"/>
      <c r="E15" s="941"/>
      <c r="F15" s="941"/>
      <c r="G15" s="941"/>
      <c r="H15" s="941"/>
      <c r="I15" s="941"/>
      <c r="J15" s="941"/>
      <c r="K15" s="941"/>
      <c r="L15" s="942"/>
      <c r="M15" s="60"/>
      <c r="N15" s="60"/>
      <c r="O15" s="242"/>
    </row>
    <row r="16" spans="1:26" ht="24.95" customHeight="1" x14ac:dyDescent="0.2">
      <c r="B16" s="637" t="s">
        <v>374</v>
      </c>
      <c r="C16" s="287"/>
      <c r="D16" s="292"/>
      <c r="E16" s="292"/>
      <c r="F16" s="292"/>
      <c r="G16" s="292"/>
      <c r="H16" s="292"/>
      <c r="I16" s="292"/>
      <c r="J16" s="292"/>
      <c r="K16" s="292"/>
      <c r="L16" s="638"/>
      <c r="M16" s="60"/>
    </row>
    <row r="17" spans="1:26" s="291" customFormat="1" ht="24.95" hidden="1" customHeight="1" x14ac:dyDescent="0.2">
      <c r="A17" s="166"/>
      <c r="B17" s="639" t="s">
        <v>463</v>
      </c>
      <c r="C17" s="404">
        <f>IF(ISERROR(DA1_BMPs!$D$86),0,DA1_BMPs!$D$86)</f>
        <v>0</v>
      </c>
      <c r="D17" s="404">
        <f>IF(ISERROR(DA2_BMPs!$D$86),0,DA2_BMPs!$D$86)</f>
        <v>0</v>
      </c>
      <c r="E17" s="404">
        <f>IF(ISERROR(DA3_BMPs!$D$86),0,DA3_BMPs!$D$86)</f>
        <v>0</v>
      </c>
      <c r="F17" s="404">
        <f>IF(ISERROR(DA4_BMPs!$D$86),0,DA4_BMPs!$D$86)</f>
        <v>0</v>
      </c>
      <c r="G17" s="404">
        <f>IF(ISERROR(DA5_BMPs!$D$86),0,DA5_BMPs!$D$86)</f>
        <v>0</v>
      </c>
      <c r="H17" s="404">
        <f>IF(ISERROR(DA6_BMPs!$D$86),0,DA6_BMPs!$D$86)</f>
        <v>0</v>
      </c>
      <c r="I17" s="404">
        <f>IF(ISERROR(DA7_BMPs!$D$86),0,DA7_BMPs!$D$86)</f>
        <v>0</v>
      </c>
      <c r="J17" s="404">
        <f>IF(ISERROR(DA8_BMPs!$D$86),0,DA8_BMPs!$D$86)</f>
        <v>0</v>
      </c>
      <c r="K17" s="404">
        <f>IF(ISERROR(DA9_BMPs!$D$86),0,DA9_BMPs!$D$86)</f>
        <v>0</v>
      </c>
      <c r="L17" s="404">
        <f>IF(ISERROR(DA10_BMPs!$D$86),0,DA10_BMPs!$D$86)</f>
        <v>0</v>
      </c>
      <c r="M17" s="290"/>
      <c r="N17" s="166"/>
      <c r="O17" s="166"/>
      <c r="P17" s="166"/>
      <c r="Q17" s="166"/>
      <c r="R17" s="166"/>
      <c r="S17" s="166"/>
      <c r="T17" s="166"/>
      <c r="U17" s="166"/>
      <c r="V17" s="166"/>
      <c r="W17" s="166"/>
      <c r="X17" s="166"/>
      <c r="Y17" s="166"/>
      <c r="Z17" s="166"/>
    </row>
    <row r="18" spans="1:26" s="313" customFormat="1" ht="24.95" hidden="1" customHeight="1" x14ac:dyDescent="0.25">
      <c r="A18" s="231"/>
      <c r="B18" s="459" t="s">
        <v>251</v>
      </c>
      <c r="C18" s="626" t="str">
        <f>IF(ISERROR('DA1'!$H$10),0,'DA1'!$H$10)</f>
        <v xml:space="preserve">  </v>
      </c>
      <c r="D18" s="626" t="str">
        <f>IF(ISERROR('DA2'!$H$10),0,'DA2'!$H$10)</f>
        <v xml:space="preserve"> </v>
      </c>
      <c r="E18" s="626" t="str">
        <f>IF(ISERROR('DA3'!$H$10),0,'DA3'!$H$10)</f>
        <v xml:space="preserve"> </v>
      </c>
      <c r="F18" s="626">
        <f>IF(ISERROR('DA4'!$H$10),0,'DA4'!$H$10)</f>
        <v>0</v>
      </c>
      <c r="G18" s="626">
        <f>IF(ISERROR('DA5'!$H$10),0,'DA5'!$H$10)</f>
        <v>0</v>
      </c>
      <c r="H18" s="626">
        <f>IF(ISERROR('DA6'!$H$10),0,'DA6'!$H$10)</f>
        <v>0</v>
      </c>
      <c r="I18" s="626">
        <f>IF(ISERROR('DA7'!$H$10),0,'DA7'!$H$10)</f>
        <v>0</v>
      </c>
      <c r="J18" s="626">
        <f>IF(ISERROR('DA8'!$H$10),0,'DA8'!$H$10)</f>
        <v>0</v>
      </c>
      <c r="K18" s="626">
        <f>IF(ISERROR('DA9'!$H$10),0,'DA9'!$H$10)</f>
        <v>0</v>
      </c>
      <c r="L18" s="626">
        <f>IF(ISERROR('DA10'!$H$10),0,'DA10'!$H$10)</f>
        <v>0</v>
      </c>
      <c r="M18" s="317" t="s">
        <v>296</v>
      </c>
      <c r="O18" s="403"/>
      <c r="P18" s="403"/>
      <c r="Q18" s="403"/>
      <c r="R18" s="405"/>
      <c r="S18" s="231"/>
      <c r="T18" s="231"/>
      <c r="U18" s="231"/>
      <c r="V18" s="231"/>
      <c r="W18" s="231"/>
      <c r="X18" s="231"/>
      <c r="Y18" s="231"/>
      <c r="Z18" s="231"/>
    </row>
    <row r="19" spans="1:26" ht="24.95" customHeight="1" x14ac:dyDescent="0.2">
      <c r="B19" s="630" t="s">
        <v>411</v>
      </c>
      <c r="C19" s="388">
        <f>IF(ISERROR(DA1_BMPs!$D$85),0,DA1_BMPs!$D$85)</f>
        <v>0</v>
      </c>
      <c r="D19" s="388">
        <f>IF(ISERROR(DA2_BMPs!$D$85),0,DA2_BMPs!$D$85)</f>
        <v>0</v>
      </c>
      <c r="E19" s="388">
        <f>IF(ISERROR(DA3_BMPs!$D$85),0,DA3_BMPs!$D$85)</f>
        <v>0</v>
      </c>
      <c r="F19" s="388">
        <f>IF(ISERROR(DA4_BMPs!$D$85),0,DA4_BMPs!$D$85)</f>
        <v>0</v>
      </c>
      <c r="G19" s="388">
        <f>IF(ISERROR(DA5_BMPs!$D$85),0,DA5_BMPs!$D$85)</f>
        <v>0</v>
      </c>
      <c r="H19" s="388">
        <f>IF(ISERROR(DA6_BMPs!$D$85),0,DA6_BMPs!$D$85)</f>
        <v>0</v>
      </c>
      <c r="I19" s="388">
        <f>IF(ISERROR(DA7_BMPs!$D$85),0,DA7_BMPs!$D$85)</f>
        <v>0</v>
      </c>
      <c r="J19" s="388">
        <f>IF(ISERROR(DA8_BMPs!$D$85),0,DA8_BMPs!$D$85)</f>
        <v>0</v>
      </c>
      <c r="K19" s="388">
        <f>IF(ISERROR(DA9_BMPs!$D$85),0,DA9_BMPs!$D$85)</f>
        <v>0</v>
      </c>
      <c r="L19" s="640">
        <f>IF(ISERROR(DA10_BMPs!$D$85),0,DA10_BMPs!$D$85)</f>
        <v>0</v>
      </c>
      <c r="M19" s="60"/>
      <c r="N19" s="60"/>
      <c r="O19" s="242"/>
    </row>
    <row r="20" spans="1:26" ht="24.95" customHeight="1" x14ac:dyDescent="0.2">
      <c r="B20" s="630" t="s">
        <v>410</v>
      </c>
      <c r="C20" s="411" t="str">
        <f>IF(ISERROR(DA1_BMPs!$D$87),0,DA1_BMPs!$D$87)</f>
        <v xml:space="preserve"> </v>
      </c>
      <c r="D20" s="411">
        <f>IF(ISERROR(DA2_BMPs!$D$87),0,DA2_BMPs!$D$87)</f>
        <v>0</v>
      </c>
      <c r="E20" s="411">
        <f>IF(ISERROR(DA3_BMPs!$D$87),0,DA3_BMPs!$D$87)</f>
        <v>0</v>
      </c>
      <c r="F20" s="411">
        <f>IF(ISERROR(DA4_BMPs!$D$87),0,DA4_BMPs!$D$87)</f>
        <v>0</v>
      </c>
      <c r="G20" s="411">
        <f>IF(ISERROR(DA5_BMPs!$D$87),0,DA5_BMPs!$D$87)</f>
        <v>0</v>
      </c>
      <c r="H20" s="411">
        <f>IF(ISERROR(DA6_BMPs!$D$87),0,DA6_BMPs!$D$87)</f>
        <v>0</v>
      </c>
      <c r="I20" s="411">
        <f>IF(ISERROR(DA7_BMPs!$D$87),0,DA7_BMPs!$D$87)</f>
        <v>0</v>
      </c>
      <c r="J20" s="411">
        <f>IF(ISERROR(DA8_BMPs!$D$87),0,DA8_BMPs!$D$87)</f>
        <v>0</v>
      </c>
      <c r="K20" s="411">
        <f>IF(ISERROR(DA9_BMPs!$D$87),0,DA9_BMPs!$D$87)</f>
        <v>0</v>
      </c>
      <c r="L20" s="641">
        <f>IF(ISERROR(DA10_BMPs!$D$87),0,DA10_BMPs!$D$87)</f>
        <v>0</v>
      </c>
      <c r="M20" s="59"/>
      <c r="N20" s="59"/>
      <c r="O20" s="242"/>
    </row>
    <row r="21" spans="1:26" ht="24.95" customHeight="1" x14ac:dyDescent="0.2">
      <c r="B21" s="630" t="s">
        <v>416</v>
      </c>
      <c r="C21" s="628">
        <f>IF(ISERROR(DA1_BMPs!$D$84),0,DA1_BMPs!$D$84)</f>
        <v>0</v>
      </c>
      <c r="D21" s="628">
        <f>IF(ISERROR(DA2_BMPs!$D$84),0,DA2_BMPs!$D$84)</f>
        <v>0</v>
      </c>
      <c r="E21" s="628">
        <f>IF(ISERROR(DA3_BMPs!$D$84),0,DA3_BMPs!$D$84)</f>
        <v>0</v>
      </c>
      <c r="F21" s="628">
        <f>IF(ISERROR(DA4_BMPs!$D$84),0,DA4_BMPs!$D$84)</f>
        <v>0</v>
      </c>
      <c r="G21" s="628">
        <f>IF(ISERROR(DA5_BMPs!$D$84),0,DA5_BMPs!$D$84)</f>
        <v>0</v>
      </c>
      <c r="H21" s="628">
        <f>IF(ISERROR(DA6_BMPs!$D$84),0,DA6_BMPs!$D$84)</f>
        <v>0</v>
      </c>
      <c r="I21" s="628">
        <f>IF(ISERROR(DA7_BMPs!$D$84),0,DA7_BMPs!$D$84)</f>
        <v>0</v>
      </c>
      <c r="J21" s="628">
        <f>IF(ISERROR(DA8_BMPs!$D$84),0,DA8_BMPs!$D$84)</f>
        <v>0</v>
      </c>
      <c r="K21" s="628">
        <f>IF(ISERROR(DA9_BMPs!$D$84),0,DA9_BMPs!$D$84)</f>
        <v>0</v>
      </c>
      <c r="L21" s="629">
        <f>IF(ISERROR(DA10_BMPs!$D$84),0,DA10_BMPs!$D$84)</f>
        <v>0</v>
      </c>
      <c r="M21" s="59"/>
      <c r="N21" s="59"/>
      <c r="O21" s="242"/>
    </row>
    <row r="22" spans="1:26" ht="24.95" customHeight="1" x14ac:dyDescent="0.2">
      <c r="B22" s="624" t="s">
        <v>220</v>
      </c>
      <c r="C22" s="626" t="str">
        <f>IF(AND(C19&lt;C10,C10&gt;0),"Yes",(IF(AND(C19&gt;C10,C10&gt;0),"No","")))</f>
        <v/>
      </c>
      <c r="D22" s="626" t="str">
        <f t="shared" ref="D22:L22" si="3">IF(AND(D19&lt;D10,D10&gt;0),"Yes",(IF(AND(D19&gt;D10,D10&gt;0),"No","")))</f>
        <v/>
      </c>
      <c r="E22" s="626" t="str">
        <f t="shared" si="3"/>
        <v/>
      </c>
      <c r="F22" s="626" t="str">
        <f t="shared" si="3"/>
        <v/>
      </c>
      <c r="G22" s="626" t="str">
        <f t="shared" si="3"/>
        <v/>
      </c>
      <c r="H22" s="626" t="str">
        <f t="shared" si="3"/>
        <v/>
      </c>
      <c r="I22" s="626" t="str">
        <f t="shared" si="3"/>
        <v/>
      </c>
      <c r="J22" s="626" t="str">
        <f t="shared" si="3"/>
        <v/>
      </c>
      <c r="K22" s="626" t="str">
        <f t="shared" si="3"/>
        <v/>
      </c>
      <c r="L22" s="627" t="str">
        <f t="shared" si="3"/>
        <v/>
      </c>
      <c r="M22" s="60"/>
      <c r="N22" s="60"/>
      <c r="O22" s="60"/>
    </row>
    <row r="23" spans="1:26" ht="24.95" customHeight="1" x14ac:dyDescent="0.2">
      <c r="B23" s="624" t="s">
        <v>219</v>
      </c>
      <c r="C23" s="626" t="str">
        <f t="shared" ref="C23" si="4">IF(AND(C20&lt;C13,C13&gt;0),"Yes",(IF(AND(C20&gt;C13,C13&gt;0),"No","")))</f>
        <v/>
      </c>
      <c r="D23" s="626" t="str">
        <f t="shared" ref="D23:L23" si="5">IF(AND(D20&lt;D13,D13&gt;0),"Yes",(IF(AND(D20&gt;D13,D13&gt;0),"No","")))</f>
        <v/>
      </c>
      <c r="E23" s="626" t="str">
        <f t="shared" si="5"/>
        <v/>
      </c>
      <c r="F23" s="626" t="str">
        <f t="shared" si="5"/>
        <v/>
      </c>
      <c r="G23" s="626" t="str">
        <f t="shared" si="5"/>
        <v/>
      </c>
      <c r="H23" s="626" t="str">
        <f t="shared" si="5"/>
        <v/>
      </c>
      <c r="I23" s="626" t="str">
        <f t="shared" si="5"/>
        <v/>
      </c>
      <c r="J23" s="626" t="str">
        <f t="shared" si="5"/>
        <v/>
      </c>
      <c r="K23" s="626" t="str">
        <f t="shared" si="5"/>
        <v/>
      </c>
      <c r="L23" s="627" t="str">
        <f t="shared" si="5"/>
        <v/>
      </c>
      <c r="M23" s="151"/>
      <c r="N23" s="60"/>
      <c r="O23" s="60"/>
    </row>
    <row r="24" spans="1:26" ht="24.95" customHeight="1" x14ac:dyDescent="0.2">
      <c r="B24" s="624" t="s">
        <v>354</v>
      </c>
      <c r="C24" s="406" t="str">
        <f>IF(AND(C21&lt;C14,C14&gt;0),"Yes",(IF(AND(C21&gt;C14,C14&gt;0),"No","")))</f>
        <v/>
      </c>
      <c r="D24" s="406" t="str">
        <f t="shared" ref="D24:L24" si="6">IF(AND(D21&lt;D14,D14&gt;0),"Yes",(IF(AND(D21&gt;D14,D14&gt;0),"No","")))</f>
        <v/>
      </c>
      <c r="E24" s="406" t="str">
        <f t="shared" si="6"/>
        <v/>
      </c>
      <c r="F24" s="406" t="str">
        <f t="shared" si="6"/>
        <v/>
      </c>
      <c r="G24" s="406" t="str">
        <f t="shared" si="6"/>
        <v/>
      </c>
      <c r="H24" s="406" t="str">
        <f t="shared" si="6"/>
        <v/>
      </c>
      <c r="I24" s="406" t="str">
        <f t="shared" si="6"/>
        <v/>
      </c>
      <c r="J24" s="406" t="str">
        <f t="shared" si="6"/>
        <v/>
      </c>
      <c r="K24" s="406" t="str">
        <f t="shared" si="6"/>
        <v/>
      </c>
      <c r="L24" s="642" t="str">
        <f t="shared" si="6"/>
        <v/>
      </c>
      <c r="M24" s="60"/>
      <c r="N24" s="60"/>
      <c r="O24" s="60"/>
    </row>
    <row r="25" spans="1:26" s="306" customFormat="1" ht="24.95" customHeight="1" x14ac:dyDescent="0.2">
      <c r="A25" s="164"/>
      <c r="B25" s="1184" t="s">
        <v>182</v>
      </c>
      <c r="C25" s="1185"/>
      <c r="D25" s="1185"/>
      <c r="E25" s="1185"/>
      <c r="F25" s="1185"/>
      <c r="G25" s="1185"/>
      <c r="H25" s="1185"/>
      <c r="I25" s="1185"/>
      <c r="J25" s="1185"/>
      <c r="K25" s="1185"/>
      <c r="L25" s="1186"/>
      <c r="M25" s="164"/>
      <c r="N25" s="164"/>
      <c r="O25" s="164"/>
      <c r="P25" s="164"/>
      <c r="Q25" s="164"/>
      <c r="R25" s="164"/>
      <c r="S25" s="164"/>
      <c r="T25" s="164"/>
      <c r="U25" s="164"/>
      <c r="V25" s="164"/>
      <c r="W25" s="164"/>
      <c r="X25" s="164"/>
      <c r="Y25" s="164"/>
      <c r="Z25" s="164"/>
    </row>
    <row r="26" spans="1:26" s="306" customFormat="1" ht="24.95" customHeight="1" x14ac:dyDescent="0.2">
      <c r="A26" s="164"/>
      <c r="B26" s="956" t="s">
        <v>197</v>
      </c>
      <c r="C26" s="900"/>
      <c r="D26" s="900"/>
      <c r="E26" s="900"/>
      <c r="F26" s="900"/>
      <c r="G26" s="900"/>
      <c r="H26" s="900"/>
      <c r="I26" s="900"/>
      <c r="J26" s="900"/>
      <c r="K26" s="900"/>
      <c r="L26" s="901"/>
      <c r="M26" s="164"/>
      <c r="N26" s="164"/>
      <c r="O26" s="164"/>
      <c r="P26" s="164"/>
      <c r="Q26" s="164"/>
      <c r="R26" s="164"/>
      <c r="S26" s="164"/>
      <c r="T26" s="164"/>
      <c r="U26" s="164"/>
      <c r="V26" s="164"/>
      <c r="W26" s="164"/>
      <c r="X26" s="164"/>
      <c r="Y26" s="164"/>
      <c r="Z26" s="164"/>
    </row>
    <row r="27" spans="1:26" s="327" customFormat="1" ht="24.95" customHeight="1" x14ac:dyDescent="0.2">
      <c r="A27" s="326"/>
      <c r="B27" s="643" t="s">
        <v>502</v>
      </c>
      <c r="C27" s="938" t="e">
        <f>'SITE SUMMARY'!G36</f>
        <v>#DIV/0!</v>
      </c>
      <c r="D27" s="938"/>
      <c r="E27" s="938"/>
      <c r="F27" s="938"/>
      <c r="G27" s="938"/>
      <c r="H27" s="938"/>
      <c r="I27" s="938"/>
      <c r="J27" s="938"/>
      <c r="K27" s="938"/>
      <c r="L27" s="939"/>
      <c r="M27" s="158"/>
      <c r="N27" s="326"/>
      <c r="O27" s="326"/>
      <c r="P27" s="326"/>
      <c r="Q27" s="326"/>
      <c r="R27" s="326"/>
      <c r="S27" s="326"/>
      <c r="T27" s="326"/>
      <c r="U27" s="326"/>
      <c r="V27" s="326"/>
      <c r="W27" s="326"/>
      <c r="X27" s="326"/>
      <c r="Y27" s="326"/>
      <c r="Z27" s="326"/>
    </row>
    <row r="28" spans="1:26" s="327" customFormat="1" ht="24.95" customHeight="1" x14ac:dyDescent="0.2">
      <c r="A28" s="326"/>
      <c r="B28" s="623" t="s">
        <v>201</v>
      </c>
      <c r="C28" s="938" t="e">
        <f>ROUND((C17*C18+D17*D18+E17*E18+F17*F18+G17*G18+H17*H18+I17*I18+J17*J18+K17*K18+L17*L18)/(SUM(C18:L18)),0)</f>
        <v>#VALUE!</v>
      </c>
      <c r="D28" s="938"/>
      <c r="E28" s="938"/>
      <c r="F28" s="938"/>
      <c r="G28" s="938"/>
      <c r="H28" s="938"/>
      <c r="I28" s="938"/>
      <c r="J28" s="938"/>
      <c r="K28" s="938"/>
      <c r="L28" s="939"/>
      <c r="M28" s="158"/>
      <c r="N28" s="326"/>
      <c r="O28" s="326"/>
      <c r="P28" s="326"/>
      <c r="Q28" s="326"/>
      <c r="R28" s="326"/>
      <c r="S28" s="326"/>
      <c r="T28" s="326"/>
      <c r="U28" s="326"/>
      <c r="V28" s="326"/>
      <c r="W28" s="326"/>
      <c r="X28" s="326"/>
      <c r="Y28" s="326"/>
      <c r="Z28" s="326"/>
    </row>
    <row r="29" spans="1:26" ht="24.95" customHeight="1" thickBot="1" x14ac:dyDescent="0.25">
      <c r="B29" s="644" t="s">
        <v>221</v>
      </c>
      <c r="C29" s="1163" t="e">
        <f>IF(C28&gt;C27+1,"No","Yes")</f>
        <v>#VALUE!</v>
      </c>
      <c r="D29" s="1163" t="e">
        <f t="shared" ref="D29:L29" si="7">IF(D27&gt;(D22*0.1+D24),"No","Yes")</f>
        <v>#VALUE!</v>
      </c>
      <c r="E29" s="1163" t="e">
        <f t="shared" si="7"/>
        <v>#VALUE!</v>
      </c>
      <c r="F29" s="1163" t="e">
        <f t="shared" si="7"/>
        <v>#VALUE!</v>
      </c>
      <c r="G29" s="1163" t="e">
        <f t="shared" si="7"/>
        <v>#VALUE!</v>
      </c>
      <c r="H29" s="1163" t="e">
        <f t="shared" si="7"/>
        <v>#VALUE!</v>
      </c>
      <c r="I29" s="1163" t="e">
        <f t="shared" si="7"/>
        <v>#VALUE!</v>
      </c>
      <c r="J29" s="1163" t="e">
        <f t="shared" si="7"/>
        <v>#VALUE!</v>
      </c>
      <c r="K29" s="1163" t="e">
        <f t="shared" si="7"/>
        <v>#VALUE!</v>
      </c>
      <c r="L29" s="1164" t="e">
        <f t="shared" si="7"/>
        <v>#VALUE!</v>
      </c>
    </row>
    <row r="30" spans="1:26" s="306" customFormat="1" ht="50.1" customHeight="1" thickBot="1" x14ac:dyDescent="0.25">
      <c r="A30" s="164"/>
      <c r="B30" s="1165" t="s">
        <v>339</v>
      </c>
      <c r="C30" s="1166"/>
      <c r="D30" s="1166"/>
      <c r="E30" s="1166"/>
      <c r="F30" s="1166"/>
      <c r="G30" s="1166"/>
      <c r="H30" s="1166"/>
      <c r="I30" s="1166"/>
      <c r="J30" s="1166"/>
      <c r="K30" s="1166"/>
      <c r="L30" s="1167"/>
      <c r="M30" s="164"/>
      <c r="N30" s="164"/>
      <c r="O30" s="164"/>
      <c r="P30" s="164"/>
      <c r="Q30" s="164"/>
      <c r="R30" s="164"/>
      <c r="S30" s="164"/>
      <c r="T30" s="164"/>
      <c r="U30" s="164"/>
      <c r="V30" s="164"/>
      <c r="W30" s="164"/>
      <c r="X30" s="164"/>
      <c r="Y30" s="164"/>
      <c r="Z30" s="164"/>
    </row>
    <row r="31" spans="1:26" ht="80.25" customHeight="1" x14ac:dyDescent="0.2">
      <c r="B31" s="1174" t="s">
        <v>489</v>
      </c>
      <c r="C31" s="1175"/>
      <c r="D31" s="1175"/>
      <c r="E31" s="1175"/>
      <c r="F31" s="1175"/>
      <c r="G31" s="1175"/>
      <c r="H31" s="1175"/>
      <c r="I31" s="1175"/>
      <c r="J31" s="1175"/>
      <c r="K31" s="1175"/>
      <c r="L31" s="1176"/>
    </row>
    <row r="32" spans="1:26" x14ac:dyDescent="0.2">
      <c r="B32" s="1177"/>
      <c r="C32" s="1178"/>
      <c r="D32" s="1178"/>
      <c r="E32" s="1178"/>
      <c r="F32" s="1178"/>
      <c r="G32" s="1178"/>
      <c r="H32" s="1178"/>
      <c r="I32" s="1178"/>
      <c r="J32" s="1178"/>
      <c r="K32" s="1178"/>
      <c r="L32" s="1179"/>
    </row>
    <row r="33" spans="2:12" x14ac:dyDescent="0.2">
      <c r="B33" s="1177"/>
      <c r="C33" s="1178"/>
      <c r="D33" s="1178"/>
      <c r="E33" s="1178"/>
      <c r="F33" s="1178"/>
      <c r="G33" s="1178"/>
      <c r="H33" s="1178"/>
      <c r="I33" s="1178"/>
      <c r="J33" s="1178"/>
      <c r="K33" s="1178"/>
      <c r="L33" s="1179"/>
    </row>
    <row r="34" spans="2:12" x14ac:dyDescent="0.2">
      <c r="B34" s="1177"/>
      <c r="C34" s="1178"/>
      <c r="D34" s="1178"/>
      <c r="E34" s="1178"/>
      <c r="F34" s="1178"/>
      <c r="G34" s="1178"/>
      <c r="H34" s="1178"/>
      <c r="I34" s="1178"/>
      <c r="J34" s="1178"/>
      <c r="K34" s="1178"/>
      <c r="L34" s="1179"/>
    </row>
    <row r="35" spans="2:12" x14ac:dyDescent="0.2">
      <c r="B35" s="1177"/>
      <c r="C35" s="1178"/>
      <c r="D35" s="1178"/>
      <c r="E35" s="1178"/>
      <c r="F35" s="1178"/>
      <c r="G35" s="1178"/>
      <c r="H35" s="1178"/>
      <c r="I35" s="1178"/>
      <c r="J35" s="1178"/>
      <c r="K35" s="1178"/>
      <c r="L35" s="1179"/>
    </row>
    <row r="36" spans="2:12" x14ac:dyDescent="0.2">
      <c r="B36" s="1177"/>
      <c r="C36" s="1178"/>
      <c r="D36" s="1178"/>
      <c r="E36" s="1178"/>
      <c r="F36" s="1178"/>
      <c r="G36" s="1178"/>
      <c r="H36" s="1178"/>
      <c r="I36" s="1178"/>
      <c r="J36" s="1178"/>
      <c r="K36" s="1178"/>
      <c r="L36" s="1179"/>
    </row>
    <row r="37" spans="2:12" x14ac:dyDescent="0.2">
      <c r="B37" s="1177"/>
      <c r="C37" s="1178"/>
      <c r="D37" s="1178"/>
      <c r="E37" s="1178"/>
      <c r="F37" s="1178"/>
      <c r="G37" s="1178"/>
      <c r="H37" s="1178"/>
      <c r="I37" s="1178"/>
      <c r="J37" s="1178"/>
      <c r="K37" s="1178"/>
      <c r="L37" s="1179"/>
    </row>
    <row r="38" spans="2:12" x14ac:dyDescent="0.2">
      <c r="B38" s="1177"/>
      <c r="C38" s="1178"/>
      <c r="D38" s="1178"/>
      <c r="E38" s="1178"/>
      <c r="F38" s="1178"/>
      <c r="G38" s="1178"/>
      <c r="H38" s="1178"/>
      <c r="I38" s="1178"/>
      <c r="J38" s="1178"/>
      <c r="K38" s="1178"/>
      <c r="L38" s="1179"/>
    </row>
    <row r="39" spans="2:12" x14ac:dyDescent="0.2">
      <c r="B39" s="1177"/>
      <c r="C39" s="1178"/>
      <c r="D39" s="1178"/>
      <c r="E39" s="1178"/>
      <c r="F39" s="1178"/>
      <c r="G39" s="1178"/>
      <c r="H39" s="1178"/>
      <c r="I39" s="1178"/>
      <c r="J39" s="1178"/>
      <c r="K39" s="1178"/>
      <c r="L39" s="1179"/>
    </row>
    <row r="40" spans="2:12" x14ac:dyDescent="0.2">
      <c r="B40" s="1177"/>
      <c r="C40" s="1178"/>
      <c r="D40" s="1178"/>
      <c r="E40" s="1178"/>
      <c r="F40" s="1178"/>
      <c r="G40" s="1178"/>
      <c r="H40" s="1178"/>
      <c r="I40" s="1178"/>
      <c r="J40" s="1178"/>
      <c r="K40" s="1178"/>
      <c r="L40" s="1179"/>
    </row>
    <row r="41" spans="2:12" x14ac:dyDescent="0.2">
      <c r="B41" s="1177"/>
      <c r="C41" s="1178"/>
      <c r="D41" s="1178"/>
      <c r="E41" s="1178"/>
      <c r="F41" s="1178"/>
      <c r="G41" s="1178"/>
      <c r="H41" s="1178"/>
      <c r="I41" s="1178"/>
      <c r="J41" s="1178"/>
      <c r="K41" s="1178"/>
      <c r="L41" s="1179"/>
    </row>
    <row r="42" spans="2:12" x14ac:dyDescent="0.2">
      <c r="B42" s="1177"/>
      <c r="C42" s="1178"/>
      <c r="D42" s="1178"/>
      <c r="E42" s="1178"/>
      <c r="F42" s="1178"/>
      <c r="G42" s="1178"/>
      <c r="H42" s="1178"/>
      <c r="I42" s="1178"/>
      <c r="J42" s="1178"/>
      <c r="K42" s="1178"/>
      <c r="L42" s="1179"/>
    </row>
    <row r="43" spans="2:12" x14ac:dyDescent="0.2">
      <c r="B43" s="1177"/>
      <c r="C43" s="1178"/>
      <c r="D43" s="1178"/>
      <c r="E43" s="1178"/>
      <c r="F43" s="1178"/>
      <c r="G43" s="1178"/>
      <c r="H43" s="1178"/>
      <c r="I43" s="1178"/>
      <c r="J43" s="1178"/>
      <c r="K43" s="1178"/>
      <c r="L43" s="1179"/>
    </row>
    <row r="44" spans="2:12" x14ac:dyDescent="0.2">
      <c r="B44" s="1177"/>
      <c r="C44" s="1178"/>
      <c r="D44" s="1178"/>
      <c r="E44" s="1178"/>
      <c r="F44" s="1178"/>
      <c r="G44" s="1178"/>
      <c r="H44" s="1178"/>
      <c r="I44" s="1178"/>
      <c r="J44" s="1178"/>
      <c r="K44" s="1178"/>
      <c r="L44" s="1179"/>
    </row>
    <row r="45" spans="2:12" x14ac:dyDescent="0.2">
      <c r="B45" s="1177"/>
      <c r="C45" s="1178"/>
      <c r="D45" s="1178"/>
      <c r="E45" s="1178"/>
      <c r="F45" s="1178"/>
      <c r="G45" s="1178"/>
      <c r="H45" s="1178"/>
      <c r="I45" s="1178"/>
      <c r="J45" s="1178"/>
      <c r="K45" s="1178"/>
      <c r="L45" s="1179"/>
    </row>
    <row r="46" spans="2:12" x14ac:dyDescent="0.2">
      <c r="B46" s="1177"/>
      <c r="C46" s="1178"/>
      <c r="D46" s="1178"/>
      <c r="E46" s="1178"/>
      <c r="F46" s="1178"/>
      <c r="G46" s="1178"/>
      <c r="H46" s="1178"/>
      <c r="I46" s="1178"/>
      <c r="J46" s="1178"/>
      <c r="K46" s="1178"/>
      <c r="L46" s="1179"/>
    </row>
    <row r="47" spans="2:12" x14ac:dyDescent="0.2">
      <c r="B47" s="1177"/>
      <c r="C47" s="1178"/>
      <c r="D47" s="1178"/>
      <c r="E47" s="1178"/>
      <c r="F47" s="1178"/>
      <c r="G47" s="1178"/>
      <c r="H47" s="1178"/>
      <c r="I47" s="1178"/>
      <c r="J47" s="1178"/>
      <c r="K47" s="1178"/>
      <c r="L47" s="1179"/>
    </row>
    <row r="48" spans="2:12" x14ac:dyDescent="0.2">
      <c r="B48" s="1177"/>
      <c r="C48" s="1178"/>
      <c r="D48" s="1178"/>
      <c r="E48" s="1178"/>
      <c r="F48" s="1178"/>
      <c r="G48" s="1178"/>
      <c r="H48" s="1178"/>
      <c r="I48" s="1178"/>
      <c r="J48" s="1178"/>
      <c r="K48" s="1178"/>
      <c r="L48" s="1179"/>
    </row>
    <row r="49" spans="1:26" ht="15.75" thickBot="1" x14ac:dyDescent="0.25">
      <c r="B49" s="1177"/>
      <c r="C49" s="1178"/>
      <c r="D49" s="1178"/>
      <c r="E49" s="1178"/>
      <c r="F49" s="1178"/>
      <c r="G49" s="1178"/>
      <c r="H49" s="1178"/>
      <c r="I49" s="1178"/>
      <c r="J49" s="1178"/>
      <c r="K49" s="1178"/>
      <c r="L49" s="1179"/>
    </row>
    <row r="50" spans="1:26" s="306" customFormat="1" ht="50.1" customHeight="1" x14ac:dyDescent="0.2">
      <c r="A50" s="164"/>
      <c r="B50" s="1180" t="s">
        <v>341</v>
      </c>
      <c r="C50" s="1181"/>
      <c r="D50" s="1181"/>
      <c r="E50" s="1181"/>
      <c r="F50" s="1181"/>
      <c r="G50" s="1181"/>
      <c r="H50" s="1181"/>
      <c r="I50" s="1181"/>
      <c r="J50" s="1181"/>
      <c r="K50" s="1181"/>
      <c r="L50" s="1182"/>
      <c r="M50" s="164"/>
      <c r="N50" s="164"/>
      <c r="O50" s="164"/>
      <c r="P50" s="164"/>
      <c r="Q50" s="164"/>
      <c r="R50" s="164"/>
      <c r="S50" s="164"/>
      <c r="T50" s="164"/>
      <c r="U50" s="164"/>
      <c r="V50" s="164"/>
      <c r="W50" s="164"/>
      <c r="X50" s="164"/>
      <c r="Y50" s="164"/>
      <c r="Z50" s="164"/>
    </row>
    <row r="51" spans="1:26" ht="30" customHeight="1" x14ac:dyDescent="0.2">
      <c r="B51" s="399"/>
      <c r="C51" s="1157" t="s">
        <v>50</v>
      </c>
      <c r="D51" s="1158"/>
      <c r="E51" s="1158"/>
      <c r="F51" s="1158"/>
      <c r="G51" s="1158"/>
      <c r="H51" s="1158"/>
      <c r="I51" s="1158"/>
      <c r="J51" s="1158"/>
      <c r="K51" s="1158"/>
      <c r="L51" s="1159"/>
    </row>
    <row r="52" spans="1:26" ht="30" customHeight="1" thickBot="1" x14ac:dyDescent="0.25">
      <c r="B52" s="399"/>
      <c r="C52" s="1160" t="s">
        <v>340</v>
      </c>
      <c r="D52" s="1161"/>
      <c r="E52" s="1161"/>
      <c r="F52" s="1161"/>
      <c r="G52" s="1161"/>
      <c r="H52" s="1161"/>
      <c r="I52" s="1161"/>
      <c r="J52" s="1161"/>
      <c r="K52" s="1161"/>
      <c r="L52" s="1162"/>
    </row>
    <row r="53" spans="1:26" s="306" customFormat="1" ht="50.1" customHeight="1" x14ac:dyDescent="0.2">
      <c r="A53" s="164"/>
      <c r="B53" s="1132" t="s">
        <v>743</v>
      </c>
      <c r="C53" s="1181"/>
      <c r="D53" s="1181"/>
      <c r="E53" s="1181"/>
      <c r="F53" s="1181"/>
      <c r="G53" s="1181"/>
      <c r="H53" s="1181"/>
      <c r="I53" s="1181"/>
      <c r="J53" s="1181"/>
      <c r="K53" s="1181"/>
      <c r="L53" s="1182"/>
      <c r="M53" s="164"/>
      <c r="N53" s="164"/>
      <c r="O53" s="164"/>
      <c r="P53" s="164"/>
      <c r="Q53" s="164"/>
      <c r="R53" s="164"/>
      <c r="S53" s="164"/>
      <c r="T53" s="164"/>
      <c r="U53" s="164"/>
      <c r="V53" s="164"/>
      <c r="W53" s="164"/>
      <c r="X53" s="164"/>
      <c r="Y53" s="164"/>
      <c r="Z53" s="164"/>
    </row>
    <row r="54" spans="1:26" ht="30" customHeight="1" x14ac:dyDescent="0.2">
      <c r="B54" s="399"/>
      <c r="C54" s="1168" t="s">
        <v>342</v>
      </c>
      <c r="D54" s="1169"/>
      <c r="E54" s="1169"/>
      <c r="F54" s="1169"/>
      <c r="G54" s="1169"/>
      <c r="H54" s="1169"/>
      <c r="I54" s="1169"/>
      <c r="J54" s="1169"/>
      <c r="K54" s="1169"/>
      <c r="L54" s="1170"/>
    </row>
    <row r="55" spans="1:26" ht="30" customHeight="1" x14ac:dyDescent="0.2">
      <c r="B55" s="399"/>
      <c r="C55" s="1168" t="s">
        <v>744</v>
      </c>
      <c r="D55" s="1169"/>
      <c r="E55" s="1169"/>
      <c r="F55" s="1169"/>
      <c r="G55" s="1169"/>
      <c r="H55" s="1169"/>
      <c r="I55" s="1169"/>
      <c r="J55" s="1169"/>
      <c r="K55" s="1169"/>
      <c r="L55" s="1170"/>
      <c r="M55" s="1183" t="s">
        <v>745</v>
      </c>
    </row>
    <row r="56" spans="1:26" ht="30" customHeight="1" x14ac:dyDescent="0.2">
      <c r="B56" s="399"/>
      <c r="C56" s="1168" t="s">
        <v>347</v>
      </c>
      <c r="D56" s="1169"/>
      <c r="E56" s="1169"/>
      <c r="F56" s="1169"/>
      <c r="G56" s="1169"/>
      <c r="H56" s="1169"/>
      <c r="I56" s="1169"/>
      <c r="J56" s="1169"/>
      <c r="K56" s="1169"/>
      <c r="L56" s="1170"/>
      <c r="M56" s="1183"/>
    </row>
    <row r="57" spans="1:26" ht="30" customHeight="1" x14ac:dyDescent="0.2">
      <c r="B57" s="399"/>
      <c r="C57" s="1171" t="s">
        <v>346</v>
      </c>
      <c r="D57" s="1172"/>
      <c r="E57" s="1172"/>
      <c r="F57" s="1172"/>
      <c r="G57" s="1172"/>
      <c r="H57" s="1172"/>
      <c r="I57" s="1172"/>
      <c r="J57" s="1172"/>
      <c r="K57" s="1172"/>
      <c r="L57" s="1173"/>
      <c r="M57" s="1183"/>
    </row>
    <row r="58" spans="1:26" ht="30" customHeight="1" x14ac:dyDescent="0.2">
      <c r="B58" s="399"/>
      <c r="C58" s="1171" t="s">
        <v>345</v>
      </c>
      <c r="D58" s="1172"/>
      <c r="E58" s="1172"/>
      <c r="F58" s="1172"/>
      <c r="G58" s="1172"/>
      <c r="H58" s="1172"/>
      <c r="I58" s="1172"/>
      <c r="J58" s="1172"/>
      <c r="K58" s="1172"/>
      <c r="L58" s="1173"/>
    </row>
    <row r="59" spans="1:26" ht="30" customHeight="1" x14ac:dyDescent="0.2">
      <c r="B59" s="399"/>
      <c r="C59" s="1168" t="s">
        <v>343</v>
      </c>
      <c r="D59" s="1169"/>
      <c r="E59" s="1169"/>
      <c r="F59" s="1169"/>
      <c r="G59" s="1169"/>
      <c r="H59" s="1169"/>
      <c r="I59" s="1169"/>
      <c r="J59" s="1169"/>
      <c r="K59" s="1169"/>
      <c r="L59" s="1170"/>
    </row>
    <row r="60" spans="1:26" ht="30" customHeight="1" thickBot="1" x14ac:dyDescent="0.25">
      <c r="B60" s="645"/>
      <c r="C60" s="1154" t="s">
        <v>344</v>
      </c>
      <c r="D60" s="1155"/>
      <c r="E60" s="1155"/>
      <c r="F60" s="1155"/>
      <c r="G60" s="1155"/>
      <c r="H60" s="1155"/>
      <c r="I60" s="1155"/>
      <c r="J60" s="1155"/>
      <c r="K60" s="1155"/>
      <c r="L60" s="1156"/>
    </row>
    <row r="61" spans="1:26" x14ac:dyDescent="0.2">
      <c r="B61" s="158"/>
      <c r="C61" s="158"/>
      <c r="D61" s="407"/>
      <c r="E61" s="158"/>
      <c r="F61" s="158"/>
      <c r="G61" s="158"/>
      <c r="H61" s="158"/>
      <c r="I61" s="158"/>
      <c r="J61" s="158"/>
      <c r="K61" s="158"/>
      <c r="L61" s="158"/>
    </row>
    <row r="62" spans="1:26" x14ac:dyDescent="0.2">
      <c r="B62" s="158"/>
      <c r="C62" s="158"/>
      <c r="D62" s="158"/>
      <c r="E62" s="158"/>
      <c r="F62" s="158"/>
      <c r="G62" s="158"/>
      <c r="H62" s="158"/>
      <c r="I62" s="158"/>
      <c r="J62" s="158"/>
      <c r="K62" s="158"/>
      <c r="L62" s="158"/>
    </row>
    <row r="63" spans="1:26" x14ac:dyDescent="0.2">
      <c r="B63" s="158"/>
      <c r="C63" s="158"/>
      <c r="D63" s="158"/>
      <c r="E63" s="158"/>
      <c r="F63" s="158"/>
      <c r="G63" s="158"/>
      <c r="H63" s="158"/>
      <c r="I63" s="158"/>
      <c r="J63" s="158"/>
      <c r="K63" s="158"/>
      <c r="L63" s="158"/>
    </row>
    <row r="64" spans="1:26" x14ac:dyDescent="0.2">
      <c r="B64" s="158"/>
      <c r="C64" s="158"/>
      <c r="D64" s="158"/>
      <c r="E64" s="158"/>
      <c r="F64" s="158"/>
      <c r="G64" s="158"/>
      <c r="H64" s="158"/>
      <c r="I64" s="158"/>
      <c r="J64" s="158"/>
      <c r="K64" s="158"/>
      <c r="L64" s="158"/>
    </row>
    <row r="65" spans="2:12" x14ac:dyDescent="0.2">
      <c r="B65" s="158"/>
      <c r="C65" s="158"/>
      <c r="D65" s="158"/>
      <c r="E65" s="158"/>
      <c r="F65" s="158"/>
      <c r="G65" s="158"/>
      <c r="H65" s="158"/>
      <c r="I65" s="158"/>
      <c r="J65" s="158"/>
      <c r="K65" s="158"/>
      <c r="L65" s="158"/>
    </row>
    <row r="66" spans="2:12" x14ac:dyDescent="0.2">
      <c r="B66" s="158"/>
      <c r="C66" s="158"/>
      <c r="D66" s="158"/>
      <c r="E66" s="158"/>
      <c r="F66" s="158"/>
      <c r="G66" s="158"/>
      <c r="H66" s="158"/>
      <c r="I66" s="158"/>
      <c r="J66" s="158"/>
      <c r="K66" s="158"/>
      <c r="L66" s="158"/>
    </row>
    <row r="67" spans="2:12" x14ac:dyDescent="0.2">
      <c r="B67" s="158"/>
      <c r="C67" s="158"/>
      <c r="D67" s="158"/>
      <c r="E67" s="158"/>
      <c r="F67" s="158"/>
      <c r="G67" s="158"/>
      <c r="H67" s="158"/>
      <c r="I67" s="158"/>
      <c r="J67" s="158"/>
      <c r="K67" s="158"/>
      <c r="L67" s="158"/>
    </row>
    <row r="68" spans="2:12" x14ac:dyDescent="0.2">
      <c r="B68" s="158"/>
      <c r="C68" s="158"/>
      <c r="D68" s="158"/>
      <c r="E68" s="158"/>
      <c r="F68" s="158"/>
      <c r="G68" s="158"/>
      <c r="H68" s="158"/>
      <c r="I68" s="158"/>
      <c r="J68" s="158"/>
      <c r="K68" s="158"/>
      <c r="L68" s="158"/>
    </row>
    <row r="69" spans="2:12" x14ac:dyDescent="0.2">
      <c r="B69" s="158"/>
      <c r="C69" s="158"/>
      <c r="D69" s="158"/>
      <c r="E69" s="158"/>
      <c r="F69" s="158"/>
      <c r="G69" s="158"/>
      <c r="H69" s="158"/>
      <c r="I69" s="158"/>
      <c r="J69" s="158"/>
      <c r="K69" s="158"/>
      <c r="L69" s="158"/>
    </row>
    <row r="70" spans="2:12" x14ac:dyDescent="0.2">
      <c r="B70" s="158"/>
      <c r="C70" s="158"/>
      <c r="D70" s="158"/>
      <c r="E70" s="158"/>
      <c r="F70" s="158"/>
      <c r="G70" s="158"/>
      <c r="H70" s="158"/>
      <c r="I70" s="158"/>
      <c r="J70" s="158"/>
      <c r="K70" s="158"/>
      <c r="L70" s="158"/>
    </row>
    <row r="71" spans="2:12" x14ac:dyDescent="0.2">
      <c r="B71" s="158"/>
      <c r="C71" s="158"/>
      <c r="D71" s="158"/>
      <c r="E71" s="158"/>
      <c r="F71" s="158"/>
      <c r="G71" s="158"/>
      <c r="H71" s="158"/>
      <c r="I71" s="158"/>
      <c r="J71" s="158"/>
      <c r="K71" s="158"/>
      <c r="L71" s="158"/>
    </row>
    <row r="72" spans="2:12" x14ac:dyDescent="0.2">
      <c r="B72" s="158"/>
      <c r="C72" s="158"/>
      <c r="D72" s="158"/>
      <c r="E72" s="158"/>
      <c r="F72" s="158"/>
      <c r="G72" s="158"/>
      <c r="H72" s="158"/>
      <c r="I72" s="158"/>
      <c r="J72" s="158"/>
      <c r="K72" s="158"/>
      <c r="L72" s="158"/>
    </row>
    <row r="73" spans="2:12" x14ac:dyDescent="0.2">
      <c r="B73" s="158"/>
      <c r="C73" s="158"/>
      <c r="D73" s="158"/>
      <c r="E73" s="158"/>
      <c r="F73" s="158"/>
      <c r="G73" s="158"/>
      <c r="H73" s="158"/>
      <c r="I73" s="158"/>
      <c r="J73" s="158"/>
      <c r="K73" s="158"/>
      <c r="L73" s="158"/>
    </row>
    <row r="74" spans="2:12" x14ac:dyDescent="0.2">
      <c r="B74" s="158"/>
      <c r="C74" s="158"/>
      <c r="D74" s="158"/>
      <c r="E74" s="158"/>
      <c r="F74" s="158"/>
      <c r="G74" s="158"/>
      <c r="H74" s="158"/>
      <c r="I74" s="158"/>
      <c r="J74" s="158"/>
      <c r="K74" s="158"/>
      <c r="L74" s="158"/>
    </row>
    <row r="75" spans="2:12" x14ac:dyDescent="0.2">
      <c r="B75" s="158"/>
      <c r="C75" s="158"/>
      <c r="D75" s="158"/>
      <c r="E75" s="158"/>
      <c r="F75" s="158"/>
      <c r="G75" s="158"/>
      <c r="H75" s="158"/>
      <c r="I75" s="158"/>
      <c r="J75" s="158"/>
      <c r="K75" s="158"/>
      <c r="L75" s="158"/>
    </row>
    <row r="76" spans="2:12" x14ac:dyDescent="0.2">
      <c r="B76" s="158"/>
      <c r="C76" s="158"/>
      <c r="D76" s="158"/>
      <c r="E76" s="158"/>
      <c r="F76" s="158"/>
      <c r="G76" s="158"/>
      <c r="H76" s="158"/>
      <c r="I76" s="158"/>
      <c r="J76" s="158"/>
      <c r="K76" s="158"/>
      <c r="L76" s="158"/>
    </row>
    <row r="77" spans="2:12" x14ac:dyDescent="0.2">
      <c r="B77" s="158"/>
      <c r="C77" s="158"/>
      <c r="D77" s="158"/>
      <c r="E77" s="158"/>
      <c r="F77" s="158"/>
      <c r="G77" s="158"/>
      <c r="H77" s="158"/>
      <c r="I77" s="158"/>
      <c r="J77" s="158"/>
      <c r="K77" s="158"/>
      <c r="L77" s="158"/>
    </row>
    <row r="78" spans="2:12" x14ac:dyDescent="0.2">
      <c r="B78" s="158"/>
      <c r="C78" s="158"/>
      <c r="D78" s="158"/>
      <c r="E78" s="158"/>
      <c r="F78" s="158"/>
      <c r="G78" s="158"/>
      <c r="H78" s="158"/>
      <c r="I78" s="158"/>
      <c r="J78" s="158"/>
      <c r="K78" s="158"/>
      <c r="L78" s="158"/>
    </row>
    <row r="79" spans="2:12" x14ac:dyDescent="0.2">
      <c r="B79" s="158"/>
      <c r="C79" s="158"/>
      <c r="D79" s="158"/>
      <c r="E79" s="158"/>
      <c r="F79" s="158"/>
      <c r="G79" s="158"/>
      <c r="H79" s="158"/>
      <c r="I79" s="158"/>
      <c r="J79" s="158"/>
      <c r="K79" s="158"/>
      <c r="L79" s="158"/>
    </row>
    <row r="80" spans="2:12" x14ac:dyDescent="0.2">
      <c r="B80" s="158"/>
      <c r="C80" s="158"/>
      <c r="D80" s="158"/>
      <c r="E80" s="158"/>
      <c r="F80" s="158"/>
      <c r="G80" s="158"/>
      <c r="H80" s="158"/>
      <c r="I80" s="158"/>
      <c r="J80" s="158"/>
      <c r="K80" s="158"/>
      <c r="L80" s="158"/>
    </row>
    <row r="81" spans="2:12" x14ac:dyDescent="0.2">
      <c r="B81" s="158"/>
      <c r="C81" s="158"/>
      <c r="D81" s="158"/>
      <c r="E81" s="158"/>
      <c r="F81" s="158"/>
      <c r="G81" s="158"/>
      <c r="H81" s="158"/>
      <c r="I81" s="158"/>
      <c r="J81" s="158"/>
      <c r="K81" s="158"/>
      <c r="L81" s="158"/>
    </row>
    <row r="82" spans="2:12" x14ac:dyDescent="0.2">
      <c r="B82" s="158"/>
      <c r="C82" s="158"/>
      <c r="D82" s="158"/>
      <c r="E82" s="158"/>
      <c r="F82" s="158"/>
      <c r="G82" s="158"/>
      <c r="H82" s="158"/>
      <c r="I82" s="158"/>
      <c r="J82" s="158"/>
      <c r="K82" s="158"/>
      <c r="L82" s="158"/>
    </row>
    <row r="83" spans="2:12" x14ac:dyDescent="0.2">
      <c r="B83" s="158"/>
      <c r="C83" s="158"/>
      <c r="D83" s="158"/>
      <c r="E83" s="158"/>
      <c r="F83" s="158"/>
      <c r="G83" s="158"/>
      <c r="H83" s="158"/>
      <c r="I83" s="158"/>
      <c r="J83" s="158"/>
      <c r="K83" s="158"/>
      <c r="L83" s="158"/>
    </row>
    <row r="84" spans="2:12" x14ac:dyDescent="0.2">
      <c r="B84" s="158"/>
      <c r="C84" s="158"/>
      <c r="D84" s="158"/>
      <c r="E84" s="158"/>
      <c r="F84" s="158"/>
      <c r="G84" s="158"/>
      <c r="H84" s="158"/>
      <c r="I84" s="158"/>
      <c r="J84" s="158"/>
      <c r="K84" s="158"/>
      <c r="L84" s="158"/>
    </row>
    <row r="85" spans="2:12" x14ac:dyDescent="0.2">
      <c r="B85" s="158"/>
      <c r="C85" s="158"/>
      <c r="D85" s="158"/>
      <c r="E85" s="158"/>
      <c r="F85" s="158"/>
      <c r="G85" s="158"/>
      <c r="H85" s="158"/>
      <c r="I85" s="158"/>
      <c r="J85" s="158"/>
      <c r="K85" s="158"/>
      <c r="L85" s="158"/>
    </row>
    <row r="86" spans="2:12" x14ac:dyDescent="0.2">
      <c r="B86" s="158"/>
      <c r="C86" s="158"/>
      <c r="D86" s="158"/>
      <c r="E86" s="158"/>
      <c r="F86" s="158"/>
      <c r="G86" s="158"/>
      <c r="H86" s="158"/>
      <c r="I86" s="158"/>
      <c r="J86" s="158"/>
      <c r="K86" s="158"/>
      <c r="L86" s="158"/>
    </row>
    <row r="87" spans="2:12" x14ac:dyDescent="0.2">
      <c r="B87" s="158"/>
      <c r="C87" s="158"/>
      <c r="D87" s="158"/>
      <c r="E87" s="158"/>
      <c r="F87" s="158"/>
      <c r="G87" s="158"/>
      <c r="H87" s="158"/>
      <c r="I87" s="158"/>
      <c r="J87" s="158"/>
      <c r="K87" s="158"/>
      <c r="L87" s="158"/>
    </row>
    <row r="88" spans="2:12" x14ac:dyDescent="0.2">
      <c r="B88" s="158"/>
      <c r="C88" s="158"/>
      <c r="D88" s="158"/>
      <c r="E88" s="158"/>
      <c r="F88" s="158"/>
      <c r="G88" s="158"/>
      <c r="H88" s="158"/>
      <c r="I88" s="158"/>
      <c r="J88" s="158"/>
      <c r="K88" s="158"/>
      <c r="L88" s="158"/>
    </row>
    <row r="89" spans="2:12" x14ac:dyDescent="0.2">
      <c r="B89" s="158"/>
      <c r="C89" s="158"/>
      <c r="D89" s="158"/>
      <c r="E89" s="158"/>
      <c r="F89" s="158"/>
      <c r="G89" s="158"/>
      <c r="H89" s="158"/>
      <c r="I89" s="158"/>
      <c r="J89" s="158"/>
      <c r="K89" s="158"/>
      <c r="L89" s="158"/>
    </row>
    <row r="90" spans="2:12" x14ac:dyDescent="0.2">
      <c r="B90" s="158"/>
      <c r="C90" s="158"/>
      <c r="D90" s="158"/>
      <c r="E90" s="158"/>
      <c r="F90" s="158"/>
      <c r="G90" s="158"/>
      <c r="H90" s="158"/>
      <c r="I90" s="158"/>
      <c r="J90" s="158"/>
      <c r="K90" s="158"/>
      <c r="L90" s="158"/>
    </row>
    <row r="91" spans="2:12" x14ac:dyDescent="0.2">
      <c r="B91" s="158"/>
      <c r="C91" s="158"/>
      <c r="D91" s="158"/>
      <c r="E91" s="158"/>
      <c r="F91" s="158"/>
      <c r="G91" s="158"/>
      <c r="H91" s="158"/>
      <c r="I91" s="158"/>
      <c r="J91" s="158"/>
      <c r="K91" s="158"/>
      <c r="L91" s="158"/>
    </row>
    <row r="92" spans="2:12" x14ac:dyDescent="0.2">
      <c r="B92" s="158"/>
      <c r="C92" s="158"/>
      <c r="D92" s="158"/>
      <c r="E92" s="158"/>
      <c r="F92" s="158"/>
      <c r="G92" s="158"/>
      <c r="H92" s="158"/>
      <c r="I92" s="158"/>
      <c r="J92" s="158"/>
      <c r="K92" s="158"/>
      <c r="L92" s="158"/>
    </row>
    <row r="93" spans="2:12" x14ac:dyDescent="0.2">
      <c r="B93" s="158"/>
      <c r="C93" s="158"/>
      <c r="D93" s="158"/>
      <c r="E93" s="158"/>
      <c r="F93" s="158"/>
      <c r="G93" s="158"/>
      <c r="H93" s="158"/>
      <c r="I93" s="158"/>
      <c r="J93" s="158"/>
      <c r="K93" s="158"/>
      <c r="L93" s="158"/>
    </row>
    <row r="94" spans="2:12" x14ac:dyDescent="0.2">
      <c r="B94" s="158"/>
      <c r="C94" s="158"/>
      <c r="D94" s="158"/>
      <c r="E94" s="158"/>
      <c r="F94" s="158"/>
      <c r="G94" s="158"/>
      <c r="H94" s="158"/>
      <c r="I94" s="158"/>
      <c r="J94" s="158"/>
      <c r="K94" s="158"/>
      <c r="L94" s="158"/>
    </row>
    <row r="95" spans="2:12" x14ac:dyDescent="0.2">
      <c r="B95" s="158"/>
      <c r="C95" s="158"/>
      <c r="D95" s="158"/>
      <c r="E95" s="158"/>
      <c r="F95" s="158"/>
      <c r="G95" s="158"/>
      <c r="H95" s="158"/>
      <c r="I95" s="158"/>
      <c r="J95" s="158"/>
      <c r="K95" s="158"/>
      <c r="L95" s="158"/>
    </row>
    <row r="96" spans="2:12" x14ac:dyDescent="0.2">
      <c r="B96" s="158"/>
      <c r="C96" s="158"/>
      <c r="D96" s="158"/>
      <c r="E96" s="158"/>
      <c r="F96" s="158"/>
      <c r="G96" s="158"/>
      <c r="H96" s="158"/>
      <c r="I96" s="158"/>
      <c r="J96" s="158"/>
      <c r="K96" s="158"/>
      <c r="L96" s="158"/>
    </row>
    <row r="97" spans="2:12" x14ac:dyDescent="0.2">
      <c r="B97" s="158"/>
      <c r="C97" s="158"/>
      <c r="D97" s="158"/>
      <c r="E97" s="158"/>
      <c r="F97" s="158"/>
      <c r="G97" s="158"/>
      <c r="H97" s="158"/>
      <c r="I97" s="158"/>
      <c r="J97" s="158"/>
      <c r="K97" s="158"/>
      <c r="L97" s="158"/>
    </row>
    <row r="98" spans="2:12" x14ac:dyDescent="0.2">
      <c r="B98" s="158"/>
      <c r="C98" s="158"/>
      <c r="D98" s="158"/>
      <c r="E98" s="158"/>
      <c r="F98" s="158"/>
      <c r="G98" s="158"/>
      <c r="H98" s="158"/>
      <c r="I98" s="158"/>
      <c r="J98" s="158"/>
      <c r="K98" s="158"/>
      <c r="L98" s="158"/>
    </row>
    <row r="99" spans="2:12" x14ac:dyDescent="0.2">
      <c r="B99" s="158"/>
      <c r="C99" s="158"/>
      <c r="D99" s="158"/>
      <c r="E99" s="158"/>
      <c r="F99" s="158"/>
      <c r="G99" s="158"/>
      <c r="H99" s="158"/>
      <c r="I99" s="158"/>
      <c r="J99" s="158"/>
      <c r="K99" s="158"/>
      <c r="L99" s="158"/>
    </row>
    <row r="100" spans="2:12" x14ac:dyDescent="0.2">
      <c r="B100" s="158"/>
      <c r="C100" s="158"/>
      <c r="D100" s="158"/>
      <c r="E100" s="158"/>
      <c r="F100" s="158"/>
      <c r="G100" s="158"/>
      <c r="H100" s="158"/>
      <c r="I100" s="158"/>
      <c r="J100" s="158"/>
      <c r="K100" s="158"/>
      <c r="L100" s="158"/>
    </row>
    <row r="101" spans="2:12" x14ac:dyDescent="0.2">
      <c r="B101" s="158"/>
      <c r="C101" s="158"/>
      <c r="D101" s="158"/>
      <c r="E101" s="158"/>
      <c r="F101" s="158"/>
      <c r="G101" s="158"/>
      <c r="H101" s="158"/>
      <c r="I101" s="158"/>
      <c r="J101" s="158"/>
      <c r="K101" s="158"/>
      <c r="L101" s="158"/>
    </row>
    <row r="102" spans="2:12" x14ac:dyDescent="0.2">
      <c r="B102" s="158"/>
      <c r="C102" s="158"/>
      <c r="D102" s="158"/>
      <c r="E102" s="158"/>
      <c r="F102" s="158"/>
      <c r="G102" s="158"/>
      <c r="H102" s="158"/>
      <c r="I102" s="158"/>
      <c r="J102" s="158"/>
      <c r="K102" s="158"/>
      <c r="L102" s="158"/>
    </row>
    <row r="103" spans="2:12" x14ac:dyDescent="0.2">
      <c r="B103" s="158"/>
      <c r="C103" s="158"/>
      <c r="D103" s="158"/>
      <c r="E103" s="158"/>
      <c r="F103" s="158"/>
      <c r="G103" s="158"/>
      <c r="H103" s="158"/>
      <c r="I103" s="158"/>
      <c r="J103" s="158"/>
      <c r="K103" s="158"/>
      <c r="L103" s="158"/>
    </row>
    <row r="104" spans="2:12" x14ac:dyDescent="0.2">
      <c r="B104" s="158"/>
      <c r="C104" s="158"/>
      <c r="D104" s="158"/>
      <c r="E104" s="158"/>
      <c r="F104" s="158"/>
      <c r="G104" s="158"/>
      <c r="H104" s="158"/>
      <c r="I104" s="158"/>
      <c r="J104" s="158"/>
      <c r="K104" s="158"/>
      <c r="L104" s="158"/>
    </row>
    <row r="105" spans="2:12" x14ac:dyDescent="0.2">
      <c r="B105" s="158"/>
      <c r="C105" s="158"/>
      <c r="D105" s="158"/>
      <c r="E105" s="158"/>
      <c r="F105" s="158"/>
      <c r="G105" s="158"/>
      <c r="H105" s="158"/>
      <c r="I105" s="158"/>
      <c r="J105" s="158"/>
      <c r="K105" s="158"/>
      <c r="L105" s="158"/>
    </row>
    <row r="106" spans="2:12" x14ac:dyDescent="0.2">
      <c r="B106" s="158"/>
      <c r="C106" s="158"/>
      <c r="D106" s="158"/>
      <c r="E106" s="158"/>
      <c r="F106" s="158"/>
      <c r="G106" s="158"/>
      <c r="H106" s="158"/>
      <c r="I106" s="158"/>
      <c r="J106" s="158"/>
      <c r="K106" s="158"/>
      <c r="L106" s="158"/>
    </row>
    <row r="107" spans="2:12" x14ac:dyDescent="0.2">
      <c r="B107" s="158"/>
      <c r="C107" s="158"/>
      <c r="D107" s="158"/>
      <c r="E107" s="158"/>
      <c r="F107" s="158"/>
      <c r="G107" s="158"/>
      <c r="H107" s="158"/>
      <c r="I107" s="158"/>
      <c r="J107" s="158"/>
      <c r="K107" s="158"/>
      <c r="L107" s="158"/>
    </row>
    <row r="108" spans="2:12" x14ac:dyDescent="0.2">
      <c r="B108" s="158"/>
      <c r="C108" s="158"/>
      <c r="D108" s="158"/>
      <c r="E108" s="158"/>
      <c r="F108" s="158"/>
      <c r="G108" s="158"/>
      <c r="H108" s="158"/>
      <c r="I108" s="158"/>
      <c r="J108" s="158"/>
      <c r="K108" s="158"/>
      <c r="L108" s="158"/>
    </row>
    <row r="109" spans="2:12" x14ac:dyDescent="0.2">
      <c r="B109" s="158"/>
      <c r="C109" s="158"/>
      <c r="D109" s="158"/>
      <c r="E109" s="158"/>
      <c r="F109" s="158"/>
      <c r="G109" s="158"/>
      <c r="H109" s="158"/>
      <c r="I109" s="158"/>
      <c r="J109" s="158"/>
      <c r="K109" s="158"/>
      <c r="L109" s="158"/>
    </row>
    <row r="110" spans="2:12" x14ac:dyDescent="0.2">
      <c r="B110" s="158"/>
      <c r="C110" s="158"/>
      <c r="D110" s="158"/>
      <c r="E110" s="158"/>
      <c r="F110" s="158"/>
      <c r="G110" s="158"/>
      <c r="H110" s="158"/>
      <c r="I110" s="158"/>
      <c r="J110" s="158"/>
      <c r="K110" s="158"/>
      <c r="L110" s="158"/>
    </row>
    <row r="111" spans="2:12" x14ac:dyDescent="0.2">
      <c r="B111" s="158"/>
      <c r="C111" s="158"/>
      <c r="D111" s="158"/>
      <c r="E111" s="158"/>
      <c r="F111" s="158"/>
      <c r="G111" s="158"/>
      <c r="H111" s="158"/>
      <c r="I111" s="158"/>
      <c r="J111" s="158"/>
      <c r="K111" s="158"/>
      <c r="L111" s="158"/>
    </row>
    <row r="112" spans="2:12" x14ac:dyDescent="0.2">
      <c r="B112" s="158"/>
      <c r="C112" s="158"/>
      <c r="D112" s="158"/>
      <c r="E112" s="158"/>
      <c r="F112" s="158"/>
      <c r="G112" s="158"/>
      <c r="H112" s="158"/>
      <c r="I112" s="158"/>
      <c r="J112" s="158"/>
      <c r="K112" s="158"/>
      <c r="L112" s="158"/>
    </row>
    <row r="113" spans="2:12" x14ac:dyDescent="0.2">
      <c r="B113" s="158"/>
      <c r="C113" s="158"/>
      <c r="D113" s="158"/>
      <c r="E113" s="158"/>
      <c r="F113" s="158"/>
      <c r="G113" s="158"/>
      <c r="H113" s="158"/>
      <c r="I113" s="158"/>
      <c r="J113" s="158"/>
      <c r="K113" s="158"/>
      <c r="L113" s="158"/>
    </row>
    <row r="114" spans="2:12" x14ac:dyDescent="0.2">
      <c r="B114" s="158"/>
      <c r="C114" s="158"/>
      <c r="D114" s="158"/>
      <c r="E114" s="158"/>
      <c r="F114" s="158"/>
      <c r="G114" s="158"/>
      <c r="H114" s="158"/>
      <c r="I114" s="158"/>
      <c r="J114" s="158"/>
      <c r="K114" s="158"/>
      <c r="L114" s="158"/>
    </row>
    <row r="115" spans="2:12" x14ac:dyDescent="0.2">
      <c r="B115" s="158"/>
      <c r="C115" s="158"/>
      <c r="D115" s="158"/>
      <c r="E115" s="158"/>
      <c r="F115" s="158"/>
      <c r="G115" s="158"/>
      <c r="H115" s="158"/>
      <c r="I115" s="158"/>
      <c r="J115" s="158"/>
      <c r="K115" s="158"/>
      <c r="L115" s="158"/>
    </row>
    <row r="116" spans="2:12" x14ac:dyDescent="0.2">
      <c r="B116" s="158"/>
      <c r="C116" s="158"/>
      <c r="D116" s="158"/>
      <c r="E116" s="158"/>
      <c r="F116" s="158"/>
      <c r="G116" s="158"/>
      <c r="H116" s="158"/>
      <c r="I116" s="158"/>
      <c r="J116" s="158"/>
      <c r="K116" s="158"/>
      <c r="L116" s="158"/>
    </row>
    <row r="117" spans="2:12" x14ac:dyDescent="0.2">
      <c r="B117" s="158"/>
      <c r="C117" s="158"/>
      <c r="D117" s="158"/>
      <c r="E117" s="158"/>
      <c r="F117" s="158"/>
      <c r="G117" s="158"/>
      <c r="H117" s="158"/>
      <c r="I117" s="158"/>
      <c r="J117" s="158"/>
      <c r="K117" s="158"/>
      <c r="L117" s="158"/>
    </row>
    <row r="118" spans="2:12" x14ac:dyDescent="0.2">
      <c r="B118" s="158"/>
      <c r="C118" s="158"/>
      <c r="D118" s="158"/>
      <c r="E118" s="158"/>
      <c r="F118" s="158"/>
      <c r="G118" s="158"/>
      <c r="H118" s="158"/>
      <c r="I118" s="158"/>
      <c r="J118" s="158"/>
      <c r="K118" s="158"/>
      <c r="L118" s="158"/>
    </row>
    <row r="119" spans="2:12" x14ac:dyDescent="0.2">
      <c r="B119" s="158"/>
      <c r="C119" s="158"/>
      <c r="D119" s="158"/>
      <c r="E119" s="158"/>
      <c r="F119" s="158"/>
      <c r="G119" s="158"/>
      <c r="H119" s="158"/>
      <c r="I119" s="158"/>
      <c r="J119" s="158"/>
      <c r="K119" s="158"/>
      <c r="L119" s="158"/>
    </row>
    <row r="120" spans="2:12" x14ac:dyDescent="0.2">
      <c r="B120" s="158"/>
      <c r="C120" s="158"/>
      <c r="D120" s="158"/>
      <c r="E120" s="158"/>
      <c r="F120" s="158"/>
      <c r="G120" s="158"/>
      <c r="H120" s="158"/>
      <c r="I120" s="158"/>
      <c r="J120" s="158"/>
      <c r="K120" s="158"/>
      <c r="L120" s="158"/>
    </row>
    <row r="121" spans="2:12" x14ac:dyDescent="0.2">
      <c r="B121" s="158"/>
      <c r="C121" s="158"/>
      <c r="D121" s="158"/>
      <c r="E121" s="158"/>
      <c r="F121" s="158"/>
      <c r="G121" s="158"/>
      <c r="H121" s="158"/>
      <c r="I121" s="158"/>
      <c r="J121" s="158"/>
      <c r="K121" s="158"/>
      <c r="L121" s="158"/>
    </row>
    <row r="122" spans="2:12" x14ac:dyDescent="0.2">
      <c r="B122" s="158"/>
      <c r="C122" s="158"/>
      <c r="D122" s="158"/>
      <c r="E122" s="158"/>
      <c r="F122" s="158"/>
      <c r="G122" s="158"/>
      <c r="H122" s="158"/>
      <c r="I122" s="158"/>
      <c r="J122" s="158"/>
      <c r="K122" s="158"/>
      <c r="L122" s="158"/>
    </row>
    <row r="123" spans="2:12" x14ac:dyDescent="0.2">
      <c r="B123" s="158"/>
      <c r="C123" s="158"/>
      <c r="D123" s="158"/>
      <c r="E123" s="158"/>
      <c r="F123" s="158"/>
      <c r="G123" s="158"/>
      <c r="H123" s="158"/>
      <c r="I123" s="158"/>
      <c r="J123" s="158"/>
      <c r="K123" s="158"/>
      <c r="L123" s="158"/>
    </row>
    <row r="124" spans="2:12" x14ac:dyDescent="0.2">
      <c r="B124" s="158"/>
      <c r="C124" s="158"/>
      <c r="D124" s="158"/>
      <c r="E124" s="158"/>
      <c r="F124" s="158"/>
      <c r="G124" s="158"/>
      <c r="H124" s="158"/>
      <c r="I124" s="158"/>
      <c r="J124" s="158"/>
      <c r="K124" s="158"/>
      <c r="L124" s="158"/>
    </row>
    <row r="125" spans="2:12" x14ac:dyDescent="0.2">
      <c r="B125" s="158"/>
      <c r="C125" s="158"/>
      <c r="D125" s="158"/>
      <c r="E125" s="158"/>
      <c r="F125" s="158"/>
      <c r="G125" s="158"/>
      <c r="H125" s="158"/>
      <c r="I125" s="158"/>
      <c r="J125" s="158"/>
      <c r="K125" s="158"/>
      <c r="L125" s="158"/>
    </row>
    <row r="126" spans="2:12" x14ac:dyDescent="0.2">
      <c r="B126" s="158"/>
      <c r="C126" s="158"/>
      <c r="D126" s="158"/>
      <c r="E126" s="158"/>
      <c r="F126" s="158"/>
      <c r="G126" s="158"/>
      <c r="H126" s="158"/>
      <c r="I126" s="158"/>
      <c r="J126" s="158"/>
      <c r="K126" s="158"/>
      <c r="L126" s="158"/>
    </row>
    <row r="127" spans="2:12" x14ac:dyDescent="0.2">
      <c r="B127" s="158"/>
      <c r="C127" s="158"/>
      <c r="D127" s="158"/>
      <c r="E127" s="158"/>
      <c r="F127" s="158"/>
      <c r="G127" s="158"/>
      <c r="H127" s="158"/>
      <c r="I127" s="158"/>
      <c r="J127" s="158"/>
      <c r="K127" s="158"/>
      <c r="L127" s="158"/>
    </row>
    <row r="128" spans="2:12" x14ac:dyDescent="0.2">
      <c r="B128" s="158"/>
      <c r="C128" s="158"/>
      <c r="D128" s="158"/>
      <c r="E128" s="158"/>
      <c r="F128" s="158"/>
      <c r="G128" s="158"/>
      <c r="H128" s="158"/>
      <c r="I128" s="158"/>
      <c r="J128" s="158"/>
      <c r="K128" s="158"/>
      <c r="L128" s="158"/>
    </row>
    <row r="129" spans="2:12" x14ac:dyDescent="0.2">
      <c r="B129" s="158"/>
      <c r="C129" s="158"/>
      <c r="D129" s="158"/>
      <c r="E129" s="158"/>
      <c r="F129" s="158"/>
      <c r="G129" s="158"/>
      <c r="H129" s="158"/>
      <c r="I129" s="158"/>
      <c r="J129" s="158"/>
      <c r="K129" s="158"/>
      <c r="L129" s="158"/>
    </row>
    <row r="130" spans="2:12" x14ac:dyDescent="0.2">
      <c r="B130" s="158"/>
      <c r="C130" s="158"/>
      <c r="D130" s="158"/>
      <c r="E130" s="158"/>
      <c r="F130" s="158"/>
      <c r="G130" s="158"/>
      <c r="H130" s="158"/>
      <c r="I130" s="158"/>
      <c r="J130" s="158"/>
      <c r="K130" s="158"/>
      <c r="L130" s="158"/>
    </row>
    <row r="131" spans="2:12" x14ac:dyDescent="0.2">
      <c r="B131" s="158"/>
      <c r="C131" s="158"/>
      <c r="D131" s="158"/>
      <c r="E131" s="158"/>
      <c r="F131" s="158"/>
      <c r="G131" s="158"/>
      <c r="H131" s="158"/>
      <c r="I131" s="158"/>
      <c r="J131" s="158"/>
      <c r="K131" s="158"/>
      <c r="L131" s="158"/>
    </row>
    <row r="132" spans="2:12" x14ac:dyDescent="0.2">
      <c r="B132" s="158"/>
      <c r="C132" s="158"/>
      <c r="D132" s="158"/>
      <c r="E132" s="158"/>
      <c r="F132" s="158"/>
      <c r="G132" s="158"/>
      <c r="H132" s="158"/>
      <c r="I132" s="158"/>
      <c r="J132" s="158"/>
      <c r="K132" s="158"/>
      <c r="L132" s="158"/>
    </row>
    <row r="133" spans="2:12" x14ac:dyDescent="0.2">
      <c r="B133" s="158"/>
      <c r="C133" s="158"/>
      <c r="D133" s="158"/>
      <c r="E133" s="158"/>
      <c r="F133" s="158"/>
      <c r="G133" s="158"/>
      <c r="H133" s="158"/>
      <c r="I133" s="158"/>
      <c r="J133" s="158"/>
      <c r="K133" s="158"/>
      <c r="L133" s="158"/>
    </row>
    <row r="134" spans="2:12" x14ac:dyDescent="0.2">
      <c r="B134" s="158"/>
      <c r="C134" s="158"/>
      <c r="D134" s="158"/>
      <c r="E134" s="158"/>
      <c r="F134" s="158"/>
      <c r="G134" s="158"/>
      <c r="H134" s="158"/>
      <c r="I134" s="158"/>
      <c r="J134" s="158"/>
      <c r="K134" s="158"/>
      <c r="L134" s="158"/>
    </row>
    <row r="135" spans="2:12" x14ac:dyDescent="0.2">
      <c r="B135" s="158"/>
      <c r="C135" s="158"/>
      <c r="D135" s="158"/>
      <c r="E135" s="158"/>
      <c r="F135" s="158"/>
      <c r="G135" s="158"/>
      <c r="H135" s="158"/>
      <c r="I135" s="158"/>
      <c r="J135" s="158"/>
      <c r="K135" s="158"/>
      <c r="L135" s="158"/>
    </row>
    <row r="136" spans="2:12" x14ac:dyDescent="0.2">
      <c r="B136" s="158"/>
      <c r="C136" s="158"/>
      <c r="D136" s="158"/>
      <c r="E136" s="158"/>
      <c r="F136" s="158"/>
      <c r="G136" s="158"/>
      <c r="H136" s="158"/>
      <c r="I136" s="158"/>
      <c r="J136" s="158"/>
      <c r="K136" s="158"/>
      <c r="L136" s="158"/>
    </row>
    <row r="137" spans="2:12" x14ac:dyDescent="0.2">
      <c r="B137" s="158"/>
      <c r="C137" s="158"/>
      <c r="D137" s="158"/>
      <c r="E137" s="158"/>
      <c r="F137" s="158"/>
      <c r="G137" s="158"/>
      <c r="H137" s="158"/>
      <c r="I137" s="158"/>
      <c r="J137" s="158"/>
      <c r="K137" s="158"/>
      <c r="L137" s="158"/>
    </row>
    <row r="138" spans="2:12" x14ac:dyDescent="0.2">
      <c r="B138" s="158"/>
      <c r="C138" s="158"/>
      <c r="D138" s="158"/>
      <c r="E138" s="158"/>
      <c r="F138" s="158"/>
      <c r="G138" s="158"/>
      <c r="H138" s="158"/>
      <c r="I138" s="158"/>
      <c r="J138" s="158"/>
      <c r="K138" s="158"/>
      <c r="L138" s="158"/>
    </row>
    <row r="139" spans="2:12" x14ac:dyDescent="0.2">
      <c r="B139" s="158"/>
      <c r="C139" s="158"/>
      <c r="D139" s="158"/>
      <c r="E139" s="158"/>
      <c r="F139" s="158"/>
      <c r="G139" s="158"/>
      <c r="H139" s="158"/>
      <c r="I139" s="158"/>
      <c r="J139" s="158"/>
      <c r="K139" s="158"/>
      <c r="L139" s="158"/>
    </row>
    <row r="140" spans="2:12" x14ac:dyDescent="0.2">
      <c r="B140" s="158"/>
      <c r="C140" s="158"/>
      <c r="D140" s="158"/>
      <c r="E140" s="158"/>
      <c r="F140" s="158"/>
      <c r="G140" s="158"/>
      <c r="H140" s="158"/>
      <c r="I140" s="158"/>
      <c r="J140" s="158"/>
      <c r="K140" s="158"/>
      <c r="L140" s="158"/>
    </row>
    <row r="141" spans="2:12" x14ac:dyDescent="0.2">
      <c r="B141" s="158"/>
      <c r="C141" s="158"/>
      <c r="D141" s="158"/>
      <c r="E141" s="158"/>
      <c r="F141" s="158"/>
      <c r="G141" s="158"/>
      <c r="H141" s="158"/>
      <c r="I141" s="158"/>
      <c r="J141" s="158"/>
      <c r="K141" s="158"/>
      <c r="L141" s="158"/>
    </row>
    <row r="142" spans="2:12" x14ac:dyDescent="0.2">
      <c r="B142" s="158"/>
      <c r="C142" s="158"/>
      <c r="D142" s="158"/>
      <c r="E142" s="158"/>
      <c r="F142" s="158"/>
      <c r="G142" s="158"/>
      <c r="H142" s="158"/>
      <c r="I142" s="158"/>
      <c r="J142" s="158"/>
      <c r="K142" s="158"/>
      <c r="L142" s="158"/>
    </row>
    <row r="143" spans="2:12" x14ac:dyDescent="0.2">
      <c r="B143" s="158"/>
      <c r="C143" s="158"/>
      <c r="D143" s="158"/>
      <c r="E143" s="158"/>
      <c r="F143" s="158"/>
      <c r="G143" s="158"/>
      <c r="H143" s="158"/>
      <c r="I143" s="158"/>
      <c r="J143" s="158"/>
      <c r="K143" s="158"/>
      <c r="L143" s="158"/>
    </row>
    <row r="144" spans="2:12" x14ac:dyDescent="0.2">
      <c r="B144" s="158"/>
      <c r="C144" s="158"/>
      <c r="D144" s="158"/>
      <c r="E144" s="158"/>
      <c r="F144" s="158"/>
      <c r="G144" s="158"/>
      <c r="H144" s="158"/>
      <c r="I144" s="158"/>
      <c r="J144" s="158"/>
      <c r="K144" s="158"/>
      <c r="L144" s="158"/>
    </row>
    <row r="145" spans="2:12" x14ac:dyDescent="0.2">
      <c r="B145" s="158"/>
      <c r="C145" s="158"/>
      <c r="D145" s="158"/>
      <c r="E145" s="158"/>
      <c r="F145" s="158"/>
      <c r="G145" s="158"/>
      <c r="H145" s="158"/>
      <c r="I145" s="158"/>
      <c r="J145" s="158"/>
      <c r="K145" s="158"/>
      <c r="L145" s="158"/>
    </row>
    <row r="146" spans="2:12" x14ac:dyDescent="0.2">
      <c r="B146" s="158"/>
      <c r="C146" s="158"/>
      <c r="D146" s="158"/>
      <c r="E146" s="158"/>
      <c r="F146" s="158"/>
      <c r="G146" s="158"/>
      <c r="H146" s="158"/>
      <c r="I146" s="158"/>
      <c r="J146" s="158"/>
      <c r="K146" s="158"/>
      <c r="L146" s="158"/>
    </row>
    <row r="147" spans="2:12" x14ac:dyDescent="0.2">
      <c r="B147" s="158"/>
      <c r="C147" s="158"/>
      <c r="D147" s="158"/>
      <c r="E147" s="158"/>
      <c r="F147" s="158"/>
      <c r="G147" s="158"/>
      <c r="H147" s="158"/>
      <c r="I147" s="158"/>
      <c r="J147" s="158"/>
      <c r="K147" s="158"/>
      <c r="L147" s="158"/>
    </row>
    <row r="148" spans="2:12" x14ac:dyDescent="0.2">
      <c r="B148" s="158"/>
      <c r="C148" s="158"/>
      <c r="D148" s="158"/>
      <c r="E148" s="158"/>
      <c r="F148" s="158"/>
      <c r="G148" s="158"/>
      <c r="H148" s="158"/>
      <c r="I148" s="158"/>
      <c r="J148" s="158"/>
      <c r="K148" s="158"/>
      <c r="L148" s="158"/>
    </row>
    <row r="149" spans="2:12" x14ac:dyDescent="0.2">
      <c r="B149" s="158"/>
      <c r="C149" s="158"/>
      <c r="D149" s="158"/>
      <c r="E149" s="158"/>
      <c r="F149" s="158"/>
      <c r="G149" s="158"/>
      <c r="H149" s="158"/>
      <c r="I149" s="158"/>
      <c r="J149" s="158"/>
      <c r="K149" s="158"/>
      <c r="L149" s="158"/>
    </row>
    <row r="150" spans="2:12" x14ac:dyDescent="0.2">
      <c r="B150" s="158"/>
      <c r="C150" s="158"/>
      <c r="D150" s="158"/>
      <c r="E150" s="158"/>
      <c r="F150" s="158"/>
      <c r="G150" s="158"/>
      <c r="H150" s="158"/>
      <c r="I150" s="158"/>
      <c r="J150" s="158"/>
      <c r="K150" s="158"/>
      <c r="L150" s="158"/>
    </row>
    <row r="151" spans="2:12" x14ac:dyDescent="0.2">
      <c r="B151" s="158"/>
      <c r="C151" s="158"/>
      <c r="D151" s="158"/>
      <c r="E151" s="158"/>
      <c r="F151" s="158"/>
      <c r="G151" s="158"/>
      <c r="H151" s="158"/>
      <c r="I151" s="158"/>
      <c r="J151" s="158"/>
      <c r="K151" s="158"/>
      <c r="L151" s="158"/>
    </row>
    <row r="152" spans="2:12" x14ac:dyDescent="0.2">
      <c r="B152" s="158"/>
      <c r="C152" s="158"/>
      <c r="D152" s="158"/>
      <c r="E152" s="158"/>
      <c r="F152" s="158"/>
      <c r="G152" s="158"/>
      <c r="H152" s="158"/>
      <c r="I152" s="158"/>
      <c r="J152" s="158"/>
      <c r="K152" s="158"/>
      <c r="L152" s="158"/>
    </row>
    <row r="153" spans="2:12" x14ac:dyDescent="0.2">
      <c r="B153" s="158"/>
      <c r="C153" s="158"/>
      <c r="D153" s="158"/>
      <c r="E153" s="158"/>
      <c r="F153" s="158"/>
      <c r="G153" s="158"/>
      <c r="H153" s="158"/>
      <c r="I153" s="158"/>
      <c r="J153" s="158"/>
      <c r="K153" s="158"/>
      <c r="L153" s="158"/>
    </row>
    <row r="154" spans="2:12" x14ac:dyDescent="0.2">
      <c r="B154" s="158"/>
      <c r="C154" s="158"/>
      <c r="D154" s="158"/>
      <c r="E154" s="158"/>
      <c r="F154" s="158"/>
      <c r="G154" s="158"/>
      <c r="H154" s="158"/>
      <c r="I154" s="158"/>
      <c r="J154" s="158"/>
      <c r="K154" s="158"/>
      <c r="L154" s="158"/>
    </row>
    <row r="155" spans="2:12" x14ac:dyDescent="0.2">
      <c r="B155" s="158"/>
      <c r="C155" s="158"/>
      <c r="D155" s="158"/>
      <c r="E155" s="158"/>
      <c r="F155" s="158"/>
      <c r="G155" s="158"/>
      <c r="H155" s="158"/>
      <c r="I155" s="158"/>
      <c r="J155" s="158"/>
      <c r="K155" s="158"/>
      <c r="L155" s="158"/>
    </row>
    <row r="156" spans="2:12" x14ac:dyDescent="0.2">
      <c r="B156" s="158"/>
      <c r="C156" s="158"/>
      <c r="D156" s="158"/>
      <c r="E156" s="158"/>
      <c r="F156" s="158"/>
      <c r="G156" s="158"/>
      <c r="H156" s="158"/>
      <c r="I156" s="158"/>
      <c r="J156" s="158"/>
      <c r="K156" s="158"/>
      <c r="L156" s="158"/>
    </row>
    <row r="157" spans="2:12" x14ac:dyDescent="0.2">
      <c r="B157" s="158"/>
      <c r="C157" s="158"/>
      <c r="D157" s="158"/>
      <c r="E157" s="158"/>
      <c r="F157" s="158"/>
      <c r="G157" s="158"/>
      <c r="H157" s="158"/>
      <c r="I157" s="158"/>
      <c r="J157" s="158"/>
      <c r="K157" s="158"/>
      <c r="L157" s="158"/>
    </row>
    <row r="158" spans="2:12" x14ac:dyDescent="0.2">
      <c r="B158" s="158"/>
      <c r="C158" s="158"/>
      <c r="D158" s="158"/>
      <c r="E158" s="158"/>
      <c r="F158" s="158"/>
      <c r="G158" s="158"/>
      <c r="H158" s="158"/>
      <c r="I158" s="158"/>
      <c r="J158" s="158"/>
      <c r="K158" s="158"/>
      <c r="L158" s="158"/>
    </row>
    <row r="159" spans="2:12" x14ac:dyDescent="0.2">
      <c r="B159" s="158"/>
      <c r="C159" s="158"/>
      <c r="D159" s="158"/>
      <c r="E159" s="158"/>
      <c r="F159" s="158"/>
      <c r="G159" s="158"/>
      <c r="H159" s="158"/>
      <c r="I159" s="158"/>
      <c r="J159" s="158"/>
      <c r="K159" s="158"/>
      <c r="L159" s="158"/>
    </row>
    <row r="160" spans="2:12" x14ac:dyDescent="0.2">
      <c r="B160" s="158"/>
      <c r="C160" s="158"/>
      <c r="D160" s="158"/>
      <c r="E160" s="158"/>
      <c r="F160" s="158"/>
      <c r="G160" s="158"/>
      <c r="H160" s="158"/>
      <c r="I160" s="158"/>
      <c r="J160" s="158"/>
      <c r="K160" s="158"/>
      <c r="L160" s="158"/>
    </row>
    <row r="161" spans="2:12" x14ac:dyDescent="0.2">
      <c r="B161" s="158"/>
      <c r="C161" s="158"/>
      <c r="D161" s="158"/>
      <c r="E161" s="158"/>
      <c r="F161" s="158"/>
      <c r="G161" s="158"/>
      <c r="H161" s="158"/>
      <c r="I161" s="158"/>
      <c r="J161" s="158"/>
      <c r="K161" s="158"/>
      <c r="L161" s="158"/>
    </row>
    <row r="162" spans="2:12" x14ac:dyDescent="0.2">
      <c r="B162" s="158"/>
      <c r="C162" s="158"/>
      <c r="D162" s="158"/>
      <c r="E162" s="158"/>
      <c r="F162" s="158"/>
      <c r="G162" s="158"/>
      <c r="H162" s="158"/>
      <c r="I162" s="158"/>
      <c r="J162" s="158"/>
      <c r="K162" s="158"/>
      <c r="L162" s="158"/>
    </row>
    <row r="163" spans="2:12" x14ac:dyDescent="0.2">
      <c r="B163" s="158"/>
      <c r="C163" s="158"/>
      <c r="D163" s="158"/>
      <c r="E163" s="158"/>
      <c r="F163" s="158"/>
      <c r="G163" s="158"/>
      <c r="H163" s="158"/>
      <c r="I163" s="158"/>
      <c r="J163" s="158"/>
      <c r="K163" s="158"/>
      <c r="L163" s="158"/>
    </row>
    <row r="164" spans="2:12" x14ac:dyDescent="0.2">
      <c r="B164" s="158"/>
      <c r="C164" s="158"/>
      <c r="D164" s="158"/>
      <c r="E164" s="158"/>
      <c r="F164" s="158"/>
      <c r="G164" s="158"/>
      <c r="H164" s="158"/>
      <c r="I164" s="158"/>
      <c r="J164" s="158"/>
      <c r="K164" s="158"/>
      <c r="L164" s="158"/>
    </row>
    <row r="165" spans="2:12" x14ac:dyDescent="0.2">
      <c r="B165" s="158"/>
      <c r="C165" s="158"/>
      <c r="D165" s="158"/>
      <c r="E165" s="158"/>
      <c r="F165" s="158"/>
      <c r="G165" s="158"/>
      <c r="H165" s="158"/>
      <c r="I165" s="158"/>
      <c r="J165" s="158"/>
      <c r="K165" s="158"/>
      <c r="L165" s="158"/>
    </row>
    <row r="166" spans="2:12" x14ac:dyDescent="0.2">
      <c r="B166" s="158"/>
      <c r="C166" s="158"/>
      <c r="D166" s="158"/>
      <c r="E166" s="158"/>
      <c r="F166" s="158"/>
      <c r="G166" s="158"/>
      <c r="H166" s="158"/>
      <c r="I166" s="158"/>
      <c r="J166" s="158"/>
      <c r="K166" s="158"/>
      <c r="L166" s="158"/>
    </row>
    <row r="167" spans="2:12" x14ac:dyDescent="0.2">
      <c r="B167" s="158"/>
      <c r="C167" s="158"/>
      <c r="D167" s="158"/>
      <c r="E167" s="158"/>
      <c r="F167" s="158"/>
      <c r="G167" s="158"/>
      <c r="H167" s="158"/>
      <c r="I167" s="158"/>
      <c r="J167" s="158"/>
      <c r="K167" s="158"/>
      <c r="L167" s="158"/>
    </row>
    <row r="168" spans="2:12" x14ac:dyDescent="0.2">
      <c r="B168" s="158"/>
      <c r="C168" s="158"/>
      <c r="D168" s="158"/>
      <c r="E168" s="158"/>
      <c r="F168" s="158"/>
      <c r="G168" s="158"/>
      <c r="H168" s="158"/>
      <c r="I168" s="158"/>
      <c r="J168" s="158"/>
      <c r="K168" s="158"/>
      <c r="L168" s="158"/>
    </row>
    <row r="169" spans="2:12" x14ac:dyDescent="0.2">
      <c r="B169" s="158"/>
      <c r="C169" s="158"/>
      <c r="D169" s="158"/>
      <c r="E169" s="158"/>
      <c r="F169" s="158"/>
      <c r="G169" s="158"/>
      <c r="H169" s="158"/>
      <c r="I169" s="158"/>
      <c r="J169" s="158"/>
      <c r="K169" s="158"/>
      <c r="L169" s="158"/>
    </row>
    <row r="170" spans="2:12" x14ac:dyDescent="0.2">
      <c r="B170" s="158"/>
      <c r="C170" s="158"/>
      <c r="D170" s="158"/>
      <c r="E170" s="158"/>
      <c r="F170" s="158"/>
      <c r="G170" s="158"/>
      <c r="H170" s="158"/>
      <c r="I170" s="158"/>
      <c r="J170" s="158"/>
      <c r="K170" s="158"/>
      <c r="L170" s="158"/>
    </row>
    <row r="171" spans="2:12" x14ac:dyDescent="0.2">
      <c r="B171" s="158"/>
      <c r="C171" s="158"/>
      <c r="D171" s="158"/>
      <c r="E171" s="158"/>
      <c r="F171" s="158"/>
      <c r="G171" s="158"/>
      <c r="H171" s="158"/>
      <c r="I171" s="158"/>
      <c r="J171" s="158"/>
      <c r="K171" s="158"/>
      <c r="L171" s="158"/>
    </row>
    <row r="172" spans="2:12" x14ac:dyDescent="0.2">
      <c r="B172" s="158"/>
      <c r="C172" s="158"/>
      <c r="D172" s="158"/>
      <c r="E172" s="158"/>
      <c r="F172" s="158"/>
      <c r="G172" s="158"/>
      <c r="H172" s="158"/>
      <c r="I172" s="158"/>
      <c r="J172" s="158"/>
      <c r="K172" s="158"/>
      <c r="L172" s="158"/>
    </row>
    <row r="173" spans="2:12" x14ac:dyDescent="0.2">
      <c r="B173" s="158"/>
      <c r="C173" s="158"/>
      <c r="D173" s="158"/>
      <c r="E173" s="158"/>
      <c r="F173" s="158"/>
      <c r="G173" s="158"/>
      <c r="H173" s="158"/>
      <c r="I173" s="158"/>
      <c r="J173" s="158"/>
      <c r="K173" s="158"/>
      <c r="L173" s="158"/>
    </row>
    <row r="174" spans="2:12" x14ac:dyDescent="0.2">
      <c r="B174" s="158"/>
      <c r="C174" s="158"/>
      <c r="D174" s="158"/>
      <c r="E174" s="158"/>
      <c r="F174" s="158"/>
      <c r="G174" s="158"/>
      <c r="H174" s="158"/>
      <c r="I174" s="158"/>
      <c r="J174" s="158"/>
      <c r="K174" s="158"/>
      <c r="L174" s="158"/>
    </row>
    <row r="175" spans="2:12" x14ac:dyDescent="0.2">
      <c r="B175" s="158"/>
      <c r="C175" s="158"/>
      <c r="D175" s="158"/>
      <c r="E175" s="158"/>
      <c r="F175" s="158"/>
      <c r="G175" s="158"/>
      <c r="H175" s="158"/>
      <c r="I175" s="158"/>
      <c r="J175" s="158"/>
      <c r="K175" s="158"/>
      <c r="L175" s="158"/>
    </row>
    <row r="176" spans="2:12" x14ac:dyDescent="0.2">
      <c r="B176" s="158"/>
      <c r="C176" s="158"/>
      <c r="D176" s="158"/>
      <c r="E176" s="158"/>
      <c r="F176" s="158"/>
      <c r="G176" s="158"/>
      <c r="H176" s="158"/>
      <c r="I176" s="158"/>
      <c r="J176" s="158"/>
      <c r="K176" s="158"/>
      <c r="L176" s="158"/>
    </row>
    <row r="177" spans="2:12" x14ac:dyDescent="0.2">
      <c r="B177" s="158"/>
      <c r="C177" s="158"/>
      <c r="D177" s="158"/>
      <c r="E177" s="158"/>
      <c r="F177" s="158"/>
      <c r="G177" s="158"/>
      <c r="H177" s="158"/>
      <c r="I177" s="158"/>
      <c r="J177" s="158"/>
      <c r="K177" s="158"/>
      <c r="L177" s="158"/>
    </row>
    <row r="178" spans="2:12" x14ac:dyDescent="0.2">
      <c r="B178" s="158"/>
      <c r="C178" s="158"/>
      <c r="D178" s="158"/>
      <c r="E178" s="158"/>
      <c r="F178" s="158"/>
      <c r="G178" s="158"/>
      <c r="H178" s="158"/>
      <c r="I178" s="158"/>
      <c r="J178" s="158"/>
      <c r="K178" s="158"/>
      <c r="L178" s="158"/>
    </row>
    <row r="179" spans="2:12" x14ac:dyDescent="0.2">
      <c r="B179" s="158"/>
      <c r="C179" s="158"/>
      <c r="D179" s="158"/>
      <c r="E179" s="158"/>
      <c r="F179" s="158"/>
      <c r="G179" s="158"/>
      <c r="H179" s="158"/>
      <c r="I179" s="158"/>
      <c r="J179" s="158"/>
      <c r="K179" s="158"/>
      <c r="L179" s="158"/>
    </row>
    <row r="180" spans="2:12" x14ac:dyDescent="0.2">
      <c r="B180" s="158"/>
      <c r="C180" s="158"/>
      <c r="D180" s="158"/>
      <c r="E180" s="158"/>
      <c r="F180" s="158"/>
      <c r="G180" s="158"/>
      <c r="H180" s="158"/>
      <c r="I180" s="158"/>
      <c r="J180" s="158"/>
      <c r="K180" s="158"/>
      <c r="L180" s="158"/>
    </row>
    <row r="181" spans="2:12" x14ac:dyDescent="0.2">
      <c r="B181" s="158"/>
      <c r="C181" s="158"/>
      <c r="D181" s="158"/>
      <c r="E181" s="158"/>
      <c r="F181" s="158"/>
      <c r="G181" s="158"/>
      <c r="H181" s="158"/>
      <c r="I181" s="158"/>
      <c r="J181" s="158"/>
      <c r="K181" s="158"/>
      <c r="L181" s="158"/>
    </row>
    <row r="182" spans="2:12" x14ac:dyDescent="0.2">
      <c r="B182" s="158"/>
      <c r="C182" s="158"/>
      <c r="D182" s="158"/>
      <c r="E182" s="158"/>
      <c r="F182" s="158"/>
      <c r="G182" s="158"/>
      <c r="H182" s="158"/>
      <c r="I182" s="158"/>
      <c r="J182" s="158"/>
      <c r="K182" s="158"/>
      <c r="L182" s="158"/>
    </row>
    <row r="183" spans="2:12" x14ac:dyDescent="0.2">
      <c r="B183" s="158"/>
      <c r="C183" s="158"/>
      <c r="D183" s="158"/>
      <c r="E183" s="158"/>
      <c r="F183" s="158"/>
      <c r="G183" s="158"/>
      <c r="H183" s="158"/>
      <c r="I183" s="158"/>
      <c r="J183" s="158"/>
      <c r="K183" s="158"/>
      <c r="L183" s="158"/>
    </row>
    <row r="184" spans="2:12" x14ac:dyDescent="0.2">
      <c r="B184" s="158"/>
      <c r="C184" s="158"/>
      <c r="D184" s="158"/>
      <c r="E184" s="158"/>
      <c r="F184" s="158"/>
      <c r="G184" s="158"/>
      <c r="H184" s="158"/>
      <c r="I184" s="158"/>
      <c r="J184" s="158"/>
      <c r="K184" s="158"/>
      <c r="L184" s="158"/>
    </row>
    <row r="185" spans="2:12" x14ac:dyDescent="0.2">
      <c r="B185" s="158"/>
      <c r="C185" s="158"/>
      <c r="D185" s="158"/>
      <c r="E185" s="158"/>
      <c r="F185" s="158"/>
      <c r="G185" s="158"/>
      <c r="H185" s="158"/>
      <c r="I185" s="158"/>
      <c r="J185" s="158"/>
      <c r="K185" s="158"/>
      <c r="L185" s="158"/>
    </row>
    <row r="186" spans="2:12" x14ac:dyDescent="0.2">
      <c r="B186" s="158"/>
      <c r="C186" s="158"/>
      <c r="D186" s="158"/>
      <c r="E186" s="158"/>
      <c r="F186" s="158"/>
      <c r="G186" s="158"/>
      <c r="H186" s="158"/>
      <c r="I186" s="158"/>
      <c r="J186" s="158"/>
      <c r="K186" s="158"/>
      <c r="L186" s="158"/>
    </row>
    <row r="187" spans="2:12" x14ac:dyDescent="0.2">
      <c r="B187" s="158"/>
      <c r="C187" s="158"/>
      <c r="D187" s="158"/>
      <c r="E187" s="158"/>
      <c r="F187" s="158"/>
      <c r="G187" s="158"/>
      <c r="H187" s="158"/>
      <c r="I187" s="158"/>
      <c r="J187" s="158"/>
      <c r="K187" s="158"/>
      <c r="L187" s="158"/>
    </row>
    <row r="188" spans="2:12" x14ac:dyDescent="0.2">
      <c r="B188" s="158"/>
      <c r="C188" s="158"/>
      <c r="D188" s="158"/>
      <c r="E188" s="158"/>
      <c r="F188" s="158"/>
      <c r="G188" s="158"/>
      <c r="H188" s="158"/>
      <c r="I188" s="158"/>
      <c r="J188" s="158"/>
      <c r="K188" s="158"/>
      <c r="L188" s="158"/>
    </row>
    <row r="189" spans="2:12" x14ac:dyDescent="0.2">
      <c r="B189" s="158"/>
      <c r="C189" s="158"/>
      <c r="D189" s="158"/>
      <c r="E189" s="158"/>
      <c r="F189" s="158"/>
      <c r="G189" s="158"/>
      <c r="H189" s="158"/>
      <c r="I189" s="158"/>
      <c r="J189" s="158"/>
      <c r="K189" s="158"/>
      <c r="L189" s="158"/>
    </row>
    <row r="190" spans="2:12" x14ac:dyDescent="0.2">
      <c r="B190" s="158"/>
      <c r="C190" s="158"/>
      <c r="D190" s="158"/>
      <c r="E190" s="158"/>
      <c r="F190" s="158"/>
      <c r="G190" s="158"/>
      <c r="H190" s="158"/>
      <c r="I190" s="158"/>
      <c r="J190" s="158"/>
      <c r="K190" s="158"/>
      <c r="L190" s="158"/>
    </row>
    <row r="191" spans="2:12" x14ac:dyDescent="0.2">
      <c r="B191" s="158"/>
      <c r="C191" s="158"/>
      <c r="D191" s="158"/>
      <c r="E191" s="158"/>
      <c r="F191" s="158"/>
      <c r="G191" s="158"/>
      <c r="H191" s="158"/>
      <c r="I191" s="158"/>
      <c r="J191" s="158"/>
      <c r="K191" s="158"/>
      <c r="L191" s="158"/>
    </row>
    <row r="192" spans="2:12" x14ac:dyDescent="0.2">
      <c r="B192" s="158"/>
      <c r="C192" s="158"/>
      <c r="D192" s="158"/>
      <c r="E192" s="158"/>
      <c r="F192" s="158"/>
      <c r="G192" s="158"/>
      <c r="H192" s="158"/>
      <c r="I192" s="158"/>
      <c r="J192" s="158"/>
      <c r="K192" s="158"/>
      <c r="L192" s="158"/>
    </row>
    <row r="193" spans="2:12" x14ac:dyDescent="0.2">
      <c r="B193" s="158"/>
      <c r="C193" s="158"/>
      <c r="D193" s="158"/>
      <c r="E193" s="158"/>
      <c r="F193" s="158"/>
      <c r="G193" s="158"/>
      <c r="H193" s="158"/>
      <c r="I193" s="158"/>
      <c r="J193" s="158"/>
      <c r="K193" s="158"/>
      <c r="L193" s="158"/>
    </row>
    <row r="194" spans="2:12" x14ac:dyDescent="0.2">
      <c r="B194" s="158"/>
      <c r="C194" s="158"/>
      <c r="D194" s="158"/>
      <c r="E194" s="158"/>
      <c r="F194" s="158"/>
      <c r="G194" s="158"/>
      <c r="H194" s="158"/>
      <c r="I194" s="158"/>
      <c r="J194" s="158"/>
      <c r="K194" s="158"/>
      <c r="L194" s="158"/>
    </row>
    <row r="195" spans="2:12" x14ac:dyDescent="0.2">
      <c r="B195" s="158"/>
      <c r="C195" s="158"/>
      <c r="D195" s="158"/>
      <c r="E195" s="158"/>
      <c r="F195" s="158"/>
      <c r="G195" s="158"/>
      <c r="H195" s="158"/>
      <c r="I195" s="158"/>
      <c r="J195" s="158"/>
      <c r="K195" s="158"/>
      <c r="L195" s="158"/>
    </row>
    <row r="196" spans="2:12" x14ac:dyDescent="0.2">
      <c r="B196" s="158"/>
      <c r="C196" s="158"/>
      <c r="D196" s="158"/>
      <c r="E196" s="158"/>
      <c r="F196" s="158"/>
      <c r="G196" s="158"/>
      <c r="H196" s="158"/>
      <c r="I196" s="158"/>
      <c r="J196" s="158"/>
      <c r="K196" s="158"/>
      <c r="L196" s="158"/>
    </row>
    <row r="197" spans="2:12" x14ac:dyDescent="0.2">
      <c r="B197" s="158"/>
      <c r="C197" s="158"/>
      <c r="D197" s="158"/>
      <c r="E197" s="158"/>
      <c r="F197" s="158"/>
      <c r="G197" s="158"/>
      <c r="H197" s="158"/>
      <c r="I197" s="158"/>
      <c r="J197" s="158"/>
      <c r="K197" s="158"/>
      <c r="L197" s="158"/>
    </row>
    <row r="198" spans="2:12" x14ac:dyDescent="0.2">
      <c r="B198" s="158"/>
      <c r="C198" s="158"/>
      <c r="D198" s="158"/>
      <c r="E198" s="158"/>
      <c r="F198" s="158"/>
      <c r="G198" s="158"/>
      <c r="H198" s="158"/>
      <c r="I198" s="158"/>
      <c r="J198" s="158"/>
      <c r="K198" s="158"/>
      <c r="L198" s="158"/>
    </row>
    <row r="199" spans="2:12" x14ac:dyDescent="0.2">
      <c r="B199" s="158"/>
      <c r="C199" s="158"/>
      <c r="D199" s="158"/>
      <c r="E199" s="158"/>
      <c r="F199" s="158"/>
      <c r="G199" s="158"/>
      <c r="H199" s="158"/>
      <c r="I199" s="158"/>
      <c r="J199" s="158"/>
      <c r="K199" s="158"/>
      <c r="L199" s="158"/>
    </row>
    <row r="200" spans="2:12" x14ac:dyDescent="0.2">
      <c r="B200" s="158"/>
      <c r="C200" s="158"/>
      <c r="D200" s="158"/>
      <c r="E200" s="158"/>
      <c r="F200" s="158"/>
      <c r="G200" s="158"/>
      <c r="H200" s="158"/>
      <c r="I200" s="158"/>
      <c r="J200" s="158"/>
      <c r="K200" s="158"/>
      <c r="L200" s="158"/>
    </row>
    <row r="201" spans="2:12" x14ac:dyDescent="0.2">
      <c r="B201" s="158"/>
      <c r="C201" s="158"/>
      <c r="D201" s="158"/>
      <c r="E201" s="158"/>
      <c r="F201" s="158"/>
      <c r="G201" s="158"/>
      <c r="H201" s="158"/>
      <c r="I201" s="158"/>
      <c r="J201" s="158"/>
      <c r="K201" s="158"/>
      <c r="L201" s="158"/>
    </row>
    <row r="202" spans="2:12" x14ac:dyDescent="0.2">
      <c r="B202" s="158"/>
      <c r="C202" s="158"/>
      <c r="D202" s="158"/>
      <c r="E202" s="158"/>
      <c r="F202" s="158"/>
      <c r="G202" s="158"/>
      <c r="H202" s="158"/>
      <c r="I202" s="158"/>
      <c r="J202" s="158"/>
      <c r="K202" s="158"/>
      <c r="L202" s="158"/>
    </row>
    <row r="203" spans="2:12" x14ac:dyDescent="0.2">
      <c r="B203" s="158"/>
      <c r="C203" s="158"/>
      <c r="D203" s="158"/>
      <c r="E203" s="158"/>
      <c r="F203" s="158"/>
      <c r="G203" s="158"/>
      <c r="H203" s="158"/>
      <c r="I203" s="158"/>
      <c r="J203" s="158"/>
      <c r="K203" s="158"/>
      <c r="L203" s="158"/>
    </row>
    <row r="204" spans="2:12" x14ac:dyDescent="0.2">
      <c r="B204" s="158"/>
      <c r="C204" s="158"/>
      <c r="D204" s="158"/>
      <c r="E204" s="158"/>
      <c r="F204" s="158"/>
      <c r="G204" s="158"/>
      <c r="H204" s="158"/>
      <c r="I204" s="158"/>
      <c r="J204" s="158"/>
      <c r="K204" s="158"/>
      <c r="L204" s="158"/>
    </row>
    <row r="205" spans="2:12" x14ac:dyDescent="0.2">
      <c r="B205" s="158"/>
      <c r="C205" s="158"/>
      <c r="D205" s="158"/>
      <c r="E205" s="158"/>
      <c r="F205" s="158"/>
      <c r="G205" s="158"/>
      <c r="H205" s="158"/>
      <c r="I205" s="158"/>
      <c r="J205" s="158"/>
      <c r="K205" s="158"/>
      <c r="L205" s="158"/>
    </row>
    <row r="206" spans="2:12" x14ac:dyDescent="0.2">
      <c r="B206" s="158"/>
      <c r="C206" s="158"/>
      <c r="D206" s="158"/>
      <c r="E206" s="158"/>
      <c r="F206" s="158"/>
      <c r="G206" s="158"/>
      <c r="H206" s="158"/>
      <c r="I206" s="158"/>
      <c r="J206" s="158"/>
      <c r="K206" s="158"/>
      <c r="L206" s="158"/>
    </row>
    <row r="207" spans="2:12" x14ac:dyDescent="0.2">
      <c r="B207" s="158"/>
      <c r="C207" s="158"/>
      <c r="D207" s="158"/>
      <c r="E207" s="158"/>
      <c r="F207" s="158"/>
      <c r="G207" s="158"/>
      <c r="H207" s="158"/>
      <c r="I207" s="158"/>
      <c r="J207" s="158"/>
      <c r="K207" s="158"/>
      <c r="L207" s="158"/>
    </row>
    <row r="208" spans="2:12" x14ac:dyDescent="0.2">
      <c r="B208" s="158"/>
      <c r="C208" s="158"/>
      <c r="D208" s="158"/>
      <c r="E208" s="158"/>
      <c r="F208" s="158"/>
      <c r="G208" s="158"/>
      <c r="H208" s="158"/>
      <c r="I208" s="158"/>
      <c r="J208" s="158"/>
      <c r="K208" s="158"/>
      <c r="L208" s="158"/>
    </row>
    <row r="209" spans="2:12" x14ac:dyDescent="0.2">
      <c r="B209" s="158"/>
      <c r="C209" s="158"/>
      <c r="D209" s="158"/>
      <c r="E209" s="158"/>
      <c r="F209" s="158"/>
      <c r="G209" s="158"/>
      <c r="H209" s="158"/>
      <c r="I209" s="158"/>
      <c r="J209" s="158"/>
      <c r="K209" s="158"/>
      <c r="L209" s="158"/>
    </row>
    <row r="210" spans="2:12" x14ac:dyDescent="0.2">
      <c r="B210" s="158"/>
      <c r="C210" s="158"/>
      <c r="D210" s="158"/>
      <c r="E210" s="158"/>
      <c r="F210" s="158"/>
      <c r="G210" s="158"/>
      <c r="H210" s="158"/>
      <c r="I210" s="158"/>
      <c r="J210" s="158"/>
      <c r="K210" s="158"/>
      <c r="L210" s="158"/>
    </row>
    <row r="211" spans="2:12" x14ac:dyDescent="0.2">
      <c r="B211" s="158"/>
      <c r="C211" s="158"/>
      <c r="D211" s="158"/>
      <c r="E211" s="158"/>
      <c r="F211" s="158"/>
      <c r="G211" s="158"/>
      <c r="H211" s="158"/>
      <c r="I211" s="158"/>
      <c r="J211" s="158"/>
      <c r="K211" s="158"/>
      <c r="L211" s="158"/>
    </row>
    <row r="212" spans="2:12" x14ac:dyDescent="0.2">
      <c r="B212" s="158"/>
      <c r="C212" s="158"/>
      <c r="D212" s="158"/>
      <c r="E212" s="158"/>
      <c r="F212" s="158"/>
      <c r="G212" s="158"/>
      <c r="H212" s="158"/>
      <c r="I212" s="158"/>
      <c r="J212" s="158"/>
      <c r="K212" s="158"/>
      <c r="L212" s="158"/>
    </row>
    <row r="213" spans="2:12" x14ac:dyDescent="0.2">
      <c r="B213" s="158"/>
      <c r="C213" s="158"/>
      <c r="D213" s="158"/>
      <c r="E213" s="158"/>
      <c r="F213" s="158"/>
      <c r="G213" s="158"/>
      <c r="H213" s="158"/>
      <c r="I213" s="158"/>
      <c r="J213" s="158"/>
      <c r="K213" s="158"/>
      <c r="L213" s="158"/>
    </row>
    <row r="214" spans="2:12" x14ac:dyDescent="0.2">
      <c r="B214" s="158"/>
      <c r="C214" s="158"/>
      <c r="D214" s="158"/>
      <c r="E214" s="158"/>
      <c r="F214" s="158"/>
      <c r="G214" s="158"/>
      <c r="H214" s="158"/>
      <c r="I214" s="158"/>
      <c r="J214" s="158"/>
      <c r="K214" s="158"/>
      <c r="L214" s="158"/>
    </row>
    <row r="215" spans="2:12" x14ac:dyDescent="0.2">
      <c r="B215" s="158"/>
      <c r="C215" s="158"/>
      <c r="D215" s="158"/>
      <c r="E215" s="158"/>
      <c r="F215" s="158"/>
      <c r="G215" s="158"/>
      <c r="H215" s="158"/>
      <c r="I215" s="158"/>
      <c r="J215" s="158"/>
      <c r="K215" s="158"/>
      <c r="L215" s="158"/>
    </row>
    <row r="216" spans="2:12" x14ac:dyDescent="0.2">
      <c r="B216" s="158"/>
      <c r="C216" s="158"/>
      <c r="D216" s="158"/>
      <c r="E216" s="158"/>
      <c r="F216" s="158"/>
      <c r="G216" s="158"/>
      <c r="H216" s="158"/>
      <c r="I216" s="158"/>
      <c r="J216" s="158"/>
      <c r="K216" s="158"/>
      <c r="L216" s="158"/>
    </row>
    <row r="217" spans="2:12" x14ac:dyDescent="0.2">
      <c r="B217" s="158"/>
      <c r="C217" s="158"/>
      <c r="D217" s="158"/>
      <c r="E217" s="158"/>
      <c r="F217" s="158"/>
      <c r="G217" s="158"/>
      <c r="H217" s="158"/>
      <c r="I217" s="158"/>
      <c r="J217" s="158"/>
      <c r="K217" s="158"/>
      <c r="L217" s="158"/>
    </row>
    <row r="218" spans="2:12" x14ac:dyDescent="0.2">
      <c r="B218" s="158"/>
      <c r="C218" s="158"/>
      <c r="D218" s="158"/>
      <c r="E218" s="158"/>
      <c r="F218" s="158"/>
      <c r="G218" s="158"/>
      <c r="H218" s="158"/>
      <c r="I218" s="158"/>
      <c r="J218" s="158"/>
      <c r="K218" s="158"/>
      <c r="L218" s="158"/>
    </row>
    <row r="219" spans="2:12" x14ac:dyDescent="0.2">
      <c r="B219" s="158"/>
      <c r="C219" s="158"/>
      <c r="D219" s="158"/>
      <c r="E219" s="158"/>
      <c r="F219" s="158"/>
      <c r="G219" s="158"/>
      <c r="H219" s="158"/>
      <c r="I219" s="158"/>
      <c r="J219" s="158"/>
      <c r="K219" s="158"/>
      <c r="L219" s="158"/>
    </row>
    <row r="220" spans="2:12" x14ac:dyDescent="0.2">
      <c r="B220" s="158"/>
      <c r="C220" s="158"/>
      <c r="D220" s="158"/>
      <c r="E220" s="158"/>
      <c r="F220" s="158"/>
      <c r="G220" s="158"/>
      <c r="H220" s="158"/>
      <c r="I220" s="158"/>
      <c r="J220" s="158"/>
      <c r="K220" s="158"/>
      <c r="L220" s="158"/>
    </row>
    <row r="221" spans="2:12" x14ac:dyDescent="0.2">
      <c r="B221" s="158"/>
      <c r="C221" s="158"/>
      <c r="D221" s="158"/>
      <c r="E221" s="158"/>
      <c r="F221" s="158"/>
      <c r="G221" s="158"/>
      <c r="H221" s="158"/>
      <c r="I221" s="158"/>
      <c r="J221" s="158"/>
      <c r="K221" s="158"/>
      <c r="L221" s="158"/>
    </row>
    <row r="222" spans="2:12" x14ac:dyDescent="0.2">
      <c r="B222" s="158"/>
      <c r="C222" s="158"/>
      <c r="D222" s="158"/>
      <c r="E222" s="158"/>
      <c r="F222" s="158"/>
      <c r="G222" s="158"/>
      <c r="H222" s="158"/>
      <c r="I222" s="158"/>
      <c r="J222" s="158"/>
      <c r="K222" s="158"/>
      <c r="L222" s="158"/>
    </row>
    <row r="223" spans="2:12" x14ac:dyDescent="0.2">
      <c r="B223" s="158"/>
      <c r="C223" s="158"/>
      <c r="D223" s="158"/>
      <c r="E223" s="158"/>
      <c r="F223" s="158"/>
      <c r="G223" s="158"/>
      <c r="H223" s="158"/>
      <c r="I223" s="158"/>
      <c r="J223" s="158"/>
      <c r="K223" s="158"/>
      <c r="L223" s="158"/>
    </row>
    <row r="224" spans="2:12" x14ac:dyDescent="0.2">
      <c r="B224" s="158"/>
      <c r="C224" s="158"/>
      <c r="D224" s="158"/>
      <c r="E224" s="158"/>
      <c r="F224" s="158"/>
      <c r="G224" s="158"/>
      <c r="H224" s="158"/>
      <c r="I224" s="158"/>
      <c r="J224" s="158"/>
      <c r="K224" s="158"/>
      <c r="L224" s="158"/>
    </row>
    <row r="225" spans="2:12" x14ac:dyDescent="0.2">
      <c r="B225" s="158"/>
      <c r="C225" s="158"/>
      <c r="D225" s="158"/>
      <c r="E225" s="158"/>
      <c r="F225" s="158"/>
      <c r="G225" s="158"/>
      <c r="H225" s="158"/>
      <c r="I225" s="158"/>
      <c r="J225" s="158"/>
      <c r="K225" s="158"/>
      <c r="L225" s="158"/>
    </row>
    <row r="226" spans="2:12" x14ac:dyDescent="0.2">
      <c r="B226" s="158"/>
      <c r="C226" s="158"/>
      <c r="D226" s="158"/>
      <c r="E226" s="158"/>
      <c r="F226" s="158"/>
      <c r="G226" s="158"/>
      <c r="H226" s="158"/>
      <c r="I226" s="158"/>
      <c r="J226" s="158"/>
      <c r="K226" s="158"/>
      <c r="L226" s="158"/>
    </row>
    <row r="227" spans="2:12" x14ac:dyDescent="0.2">
      <c r="B227" s="158"/>
      <c r="C227" s="158"/>
      <c r="D227" s="158"/>
      <c r="E227" s="158"/>
      <c r="F227" s="158"/>
      <c r="G227" s="158"/>
      <c r="H227" s="158"/>
      <c r="I227" s="158"/>
      <c r="J227" s="158"/>
      <c r="K227" s="158"/>
      <c r="L227" s="158"/>
    </row>
    <row r="228" spans="2:12" x14ac:dyDescent="0.2">
      <c r="B228" s="158"/>
      <c r="C228" s="158"/>
      <c r="D228" s="158"/>
      <c r="E228" s="158"/>
      <c r="F228" s="158"/>
      <c r="G228" s="158"/>
      <c r="H228" s="158"/>
      <c r="I228" s="158"/>
      <c r="J228" s="158"/>
      <c r="K228" s="158"/>
      <c r="L228" s="158"/>
    </row>
    <row r="229" spans="2:12" x14ac:dyDescent="0.2">
      <c r="B229" s="158"/>
      <c r="C229" s="158"/>
      <c r="D229" s="158"/>
      <c r="E229" s="158"/>
      <c r="F229" s="158"/>
      <c r="G229" s="158"/>
      <c r="H229" s="158"/>
      <c r="I229" s="158"/>
      <c r="J229" s="158"/>
      <c r="K229" s="158"/>
      <c r="L229" s="158"/>
    </row>
    <row r="230" spans="2:12" x14ac:dyDescent="0.2">
      <c r="B230" s="158"/>
      <c r="C230" s="158"/>
      <c r="D230" s="158"/>
      <c r="E230" s="158"/>
      <c r="F230" s="158"/>
      <c r="G230" s="158"/>
      <c r="H230" s="158"/>
      <c r="I230" s="158"/>
      <c r="J230" s="158"/>
      <c r="K230" s="158"/>
      <c r="L230" s="158"/>
    </row>
    <row r="231" spans="2:12" x14ac:dyDescent="0.2">
      <c r="B231" s="158"/>
      <c r="C231" s="158"/>
      <c r="D231" s="158"/>
      <c r="E231" s="158"/>
      <c r="F231" s="158"/>
      <c r="G231" s="158"/>
      <c r="H231" s="158"/>
      <c r="I231" s="158"/>
      <c r="J231" s="158"/>
      <c r="K231" s="158"/>
      <c r="L231" s="158"/>
    </row>
    <row r="232" spans="2:12" x14ac:dyDescent="0.2">
      <c r="B232" s="158"/>
      <c r="C232" s="158"/>
      <c r="D232" s="158"/>
      <c r="E232" s="158"/>
      <c r="F232" s="158"/>
      <c r="G232" s="158"/>
      <c r="H232" s="158"/>
      <c r="I232" s="158"/>
      <c r="J232" s="158"/>
      <c r="K232" s="158"/>
      <c r="L232" s="158"/>
    </row>
    <row r="233" spans="2:12" x14ac:dyDescent="0.2">
      <c r="B233" s="158"/>
      <c r="C233" s="158"/>
      <c r="D233" s="158"/>
      <c r="E233" s="158"/>
      <c r="F233" s="158"/>
      <c r="G233" s="158"/>
      <c r="H233" s="158"/>
      <c r="I233" s="158"/>
      <c r="J233" s="158"/>
      <c r="K233" s="158"/>
      <c r="L233" s="158"/>
    </row>
    <row r="234" spans="2:12" x14ac:dyDescent="0.2">
      <c r="B234" s="158"/>
      <c r="C234" s="158"/>
      <c r="D234" s="158"/>
      <c r="E234" s="158"/>
      <c r="F234" s="158"/>
      <c r="G234" s="158"/>
      <c r="H234" s="158"/>
      <c r="I234" s="158"/>
      <c r="J234" s="158"/>
      <c r="K234" s="158"/>
      <c r="L234" s="158"/>
    </row>
    <row r="235" spans="2:12" x14ac:dyDescent="0.2">
      <c r="B235" s="158"/>
      <c r="C235" s="158"/>
      <c r="D235" s="158"/>
      <c r="E235" s="158"/>
      <c r="F235" s="158"/>
      <c r="G235" s="158"/>
      <c r="H235" s="158"/>
      <c r="I235" s="158"/>
      <c r="J235" s="158"/>
      <c r="K235" s="158"/>
      <c r="L235" s="158"/>
    </row>
    <row r="236" spans="2:12" x14ac:dyDescent="0.2">
      <c r="B236" s="158"/>
      <c r="C236" s="158"/>
      <c r="D236" s="158"/>
      <c r="E236" s="158"/>
      <c r="F236" s="158"/>
      <c r="G236" s="158"/>
      <c r="H236" s="158"/>
      <c r="I236" s="158"/>
      <c r="J236" s="158"/>
      <c r="K236" s="158"/>
      <c r="L236" s="158"/>
    </row>
    <row r="237" spans="2:12" x14ac:dyDescent="0.2">
      <c r="B237" s="158"/>
      <c r="C237" s="158"/>
      <c r="D237" s="158"/>
      <c r="E237" s="158"/>
      <c r="F237" s="158"/>
      <c r="G237" s="158"/>
      <c r="H237" s="158"/>
      <c r="I237" s="158"/>
      <c r="J237" s="158"/>
      <c r="K237" s="158"/>
      <c r="L237" s="158"/>
    </row>
    <row r="238" spans="2:12" x14ac:dyDescent="0.2">
      <c r="B238" s="158"/>
      <c r="C238" s="158"/>
      <c r="D238" s="158"/>
      <c r="E238" s="158"/>
      <c r="F238" s="158"/>
      <c r="G238" s="158"/>
      <c r="H238" s="158"/>
      <c r="I238" s="158"/>
      <c r="J238" s="158"/>
      <c r="K238" s="158"/>
      <c r="L238" s="158"/>
    </row>
    <row r="239" spans="2:12" x14ac:dyDescent="0.2">
      <c r="B239" s="158"/>
      <c r="C239" s="158"/>
      <c r="D239" s="158"/>
      <c r="E239" s="158"/>
      <c r="F239" s="158"/>
      <c r="G239" s="158"/>
      <c r="H239" s="158"/>
      <c r="I239" s="158"/>
      <c r="J239" s="158"/>
      <c r="K239" s="158"/>
      <c r="L239" s="158"/>
    </row>
    <row r="240" spans="2:12" x14ac:dyDescent="0.2">
      <c r="B240" s="158"/>
      <c r="C240" s="158"/>
      <c r="D240" s="158"/>
      <c r="E240" s="158"/>
      <c r="F240" s="158"/>
      <c r="G240" s="158"/>
      <c r="H240" s="158"/>
      <c r="I240" s="158"/>
      <c r="J240" s="158"/>
      <c r="K240" s="158"/>
      <c r="L240" s="158"/>
    </row>
    <row r="241" spans="2:12" x14ac:dyDescent="0.2">
      <c r="B241" s="158"/>
      <c r="C241" s="158"/>
      <c r="D241" s="158"/>
      <c r="E241" s="158"/>
      <c r="F241" s="158"/>
      <c r="G241" s="158"/>
      <c r="H241" s="158"/>
      <c r="I241" s="158"/>
      <c r="J241" s="158"/>
      <c r="K241" s="158"/>
      <c r="L241" s="158"/>
    </row>
    <row r="242" spans="2:12" x14ac:dyDescent="0.2">
      <c r="B242" s="158"/>
      <c r="C242" s="158"/>
      <c r="D242" s="158"/>
      <c r="E242" s="158"/>
      <c r="F242" s="158"/>
      <c r="G242" s="158"/>
      <c r="H242" s="158"/>
      <c r="I242" s="158"/>
      <c r="J242" s="158"/>
      <c r="K242" s="158"/>
      <c r="L242" s="158"/>
    </row>
    <row r="243" spans="2:12" x14ac:dyDescent="0.2">
      <c r="B243" s="158"/>
      <c r="C243" s="158"/>
      <c r="D243" s="158"/>
      <c r="E243" s="158"/>
      <c r="F243" s="158"/>
      <c r="G243" s="158"/>
      <c r="H243" s="158"/>
      <c r="I243" s="158"/>
      <c r="J243" s="158"/>
      <c r="K243" s="158"/>
      <c r="L243" s="158"/>
    </row>
    <row r="244" spans="2:12" x14ac:dyDescent="0.2">
      <c r="B244" s="158"/>
      <c r="C244" s="158"/>
      <c r="D244" s="158"/>
      <c r="E244" s="158"/>
      <c r="F244" s="158"/>
      <c r="G244" s="158"/>
      <c r="H244" s="158"/>
      <c r="I244" s="158"/>
      <c r="J244" s="158"/>
      <c r="K244" s="158"/>
      <c r="L244" s="158"/>
    </row>
    <row r="245" spans="2:12" x14ac:dyDescent="0.2">
      <c r="B245" s="158"/>
      <c r="C245" s="158"/>
      <c r="D245" s="158"/>
      <c r="E245" s="158"/>
      <c r="F245" s="158"/>
      <c r="G245" s="158"/>
      <c r="H245" s="158"/>
      <c r="I245" s="158"/>
      <c r="J245" s="158"/>
      <c r="K245" s="158"/>
      <c r="L245" s="158"/>
    </row>
    <row r="246" spans="2:12" x14ac:dyDescent="0.2">
      <c r="B246" s="158"/>
      <c r="C246" s="158"/>
      <c r="D246" s="158"/>
      <c r="E246" s="158"/>
      <c r="F246" s="158"/>
      <c r="G246" s="158"/>
      <c r="H246" s="158"/>
      <c r="I246" s="158"/>
      <c r="J246" s="158"/>
      <c r="K246" s="158"/>
      <c r="L246" s="158"/>
    </row>
    <row r="247" spans="2:12" x14ac:dyDescent="0.2">
      <c r="B247" s="158"/>
      <c r="C247" s="158"/>
      <c r="D247" s="158"/>
      <c r="E247" s="158"/>
      <c r="F247" s="158"/>
      <c r="G247" s="158"/>
      <c r="H247" s="158"/>
      <c r="I247" s="158"/>
      <c r="J247" s="158"/>
      <c r="K247" s="158"/>
      <c r="L247" s="158"/>
    </row>
    <row r="248" spans="2:12" x14ac:dyDescent="0.2">
      <c r="B248" s="158"/>
      <c r="C248" s="158"/>
      <c r="D248" s="158"/>
      <c r="E248" s="158"/>
      <c r="F248" s="158"/>
      <c r="G248" s="158"/>
      <c r="H248" s="158"/>
      <c r="I248" s="158"/>
      <c r="J248" s="158"/>
      <c r="K248" s="158"/>
      <c r="L248" s="158"/>
    </row>
    <row r="249" spans="2:12" x14ac:dyDescent="0.2">
      <c r="B249" s="158"/>
      <c r="C249" s="158"/>
      <c r="D249" s="158"/>
      <c r="E249" s="158"/>
      <c r="F249" s="158"/>
      <c r="G249" s="158"/>
      <c r="H249" s="158"/>
      <c r="I249" s="158"/>
      <c r="J249" s="158"/>
      <c r="K249" s="158"/>
      <c r="L249" s="158"/>
    </row>
    <row r="250" spans="2:12" x14ac:dyDescent="0.2">
      <c r="B250" s="158"/>
      <c r="C250" s="158"/>
      <c r="D250" s="158"/>
      <c r="E250" s="158"/>
      <c r="F250" s="158"/>
      <c r="G250" s="158"/>
      <c r="H250" s="158"/>
      <c r="I250" s="158"/>
      <c r="J250" s="158"/>
      <c r="K250" s="158"/>
      <c r="L250" s="158"/>
    </row>
    <row r="251" spans="2:12" x14ac:dyDescent="0.2">
      <c r="B251" s="158"/>
      <c r="C251" s="158"/>
      <c r="D251" s="158"/>
      <c r="E251" s="158"/>
      <c r="F251" s="158"/>
      <c r="G251" s="158"/>
      <c r="H251" s="158"/>
      <c r="I251" s="158"/>
      <c r="J251" s="158"/>
      <c r="K251" s="158"/>
      <c r="L251" s="158"/>
    </row>
    <row r="252" spans="2:12" x14ac:dyDescent="0.2">
      <c r="B252" s="158"/>
      <c r="C252" s="158"/>
      <c r="D252" s="158"/>
      <c r="E252" s="158"/>
      <c r="F252" s="158"/>
      <c r="G252" s="158"/>
      <c r="H252" s="158"/>
      <c r="I252" s="158"/>
      <c r="J252" s="158"/>
      <c r="K252" s="158"/>
      <c r="L252" s="158"/>
    </row>
  </sheetData>
  <sheetProtection password="E421" sheet="1" objects="1" scenarios="1"/>
  <mergeCells count="26">
    <mergeCell ref="M55:M57"/>
    <mergeCell ref="C54:L54"/>
    <mergeCell ref="I1:L1"/>
    <mergeCell ref="B26:L26"/>
    <mergeCell ref="B25:L25"/>
    <mergeCell ref="B6:L6"/>
    <mergeCell ref="B8:L8"/>
    <mergeCell ref="B15:L15"/>
    <mergeCell ref="B4:L4"/>
    <mergeCell ref="B5:L5"/>
    <mergeCell ref="C60:L60"/>
    <mergeCell ref="C51:L51"/>
    <mergeCell ref="C52:L52"/>
    <mergeCell ref="C27:L27"/>
    <mergeCell ref="C28:L28"/>
    <mergeCell ref="C29:L29"/>
    <mergeCell ref="B30:L30"/>
    <mergeCell ref="C55:L55"/>
    <mergeCell ref="C56:L56"/>
    <mergeCell ref="C57:L57"/>
    <mergeCell ref="C58:L58"/>
    <mergeCell ref="C59:L59"/>
    <mergeCell ref="B31:L31"/>
    <mergeCell ref="B32:L49"/>
    <mergeCell ref="B50:L50"/>
    <mergeCell ref="B53:L53"/>
  </mergeCells>
  <conditionalFormatting sqref="I1:L1">
    <cfRule type="containsText" dxfId="28" priority="61" operator="containsText" text="0">
      <formula>NOT(ISERROR(SEARCH("0",I1)))</formula>
    </cfRule>
  </conditionalFormatting>
  <conditionalFormatting sqref="C22:L24">
    <cfRule type="containsText" dxfId="27" priority="4" operator="containsText" text="No">
      <formula>NOT(ISERROR(SEARCH("No",C22)))</formula>
    </cfRule>
  </conditionalFormatting>
  <conditionalFormatting sqref="B9:L15 B17:L24">
    <cfRule type="cellIs" dxfId="26" priority="2" stopIfTrue="1" operator="lessThanOrEqual">
      <formula>0</formula>
    </cfRule>
    <cfRule type="containsErrors" dxfId="25" priority="3" stopIfTrue="1">
      <formula>ISERROR(B9)</formula>
    </cfRule>
  </conditionalFormatting>
  <conditionalFormatting sqref="C27:L29">
    <cfRule type="containsErrors" dxfId="24" priority="1" stopIfTrue="1">
      <formula>ISERROR(C27)</formula>
    </cfRule>
  </conditionalFormatting>
  <printOptions horizontalCentered="1"/>
  <pageMargins left="0.7" right="0.7" top="0.75" bottom="0.75" header="0.3" footer="0.3"/>
  <pageSetup scale="51" fitToHeight="2" orientation="portrait" r:id="rId1"/>
  <headerFooter>
    <oddFooter>&amp;A&amp;RPage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7041" r:id="rId4" name="Check Box 1">
              <controlPr defaultSize="0" autoFill="0" autoLine="0" autoPict="0">
                <anchor moveWithCells="1">
                  <from>
                    <xdr:col>1</xdr:col>
                    <xdr:colOff>2457450</xdr:colOff>
                    <xdr:row>50</xdr:row>
                    <xdr:rowOff>76200</xdr:rowOff>
                  </from>
                  <to>
                    <xdr:col>1</xdr:col>
                    <xdr:colOff>2781300</xdr:colOff>
                    <xdr:row>50</xdr:row>
                    <xdr:rowOff>304800</xdr:rowOff>
                  </to>
                </anchor>
              </controlPr>
            </control>
          </mc:Choice>
        </mc:AlternateContent>
        <mc:AlternateContent xmlns:mc="http://schemas.openxmlformats.org/markup-compatibility/2006">
          <mc:Choice Requires="x14">
            <control shapeId="87043" r:id="rId5" name="Check Box 3">
              <controlPr defaultSize="0" autoFill="0" autoLine="0" autoPict="0">
                <anchor moveWithCells="1">
                  <from>
                    <xdr:col>1</xdr:col>
                    <xdr:colOff>2457450</xdr:colOff>
                    <xdr:row>51</xdr:row>
                    <xdr:rowOff>76200</xdr:rowOff>
                  </from>
                  <to>
                    <xdr:col>1</xdr:col>
                    <xdr:colOff>2781300</xdr:colOff>
                    <xdr:row>51</xdr:row>
                    <xdr:rowOff>304800</xdr:rowOff>
                  </to>
                </anchor>
              </controlPr>
            </control>
          </mc:Choice>
        </mc:AlternateContent>
        <mc:AlternateContent xmlns:mc="http://schemas.openxmlformats.org/markup-compatibility/2006">
          <mc:Choice Requires="x14">
            <control shapeId="87044" r:id="rId6" name="Check Box 4">
              <controlPr defaultSize="0" autoFill="0" autoLine="0" autoPict="0">
                <anchor moveWithCells="1">
                  <from>
                    <xdr:col>1</xdr:col>
                    <xdr:colOff>2457450</xdr:colOff>
                    <xdr:row>53</xdr:row>
                    <xdr:rowOff>76200</xdr:rowOff>
                  </from>
                  <to>
                    <xdr:col>1</xdr:col>
                    <xdr:colOff>2781300</xdr:colOff>
                    <xdr:row>53</xdr:row>
                    <xdr:rowOff>304800</xdr:rowOff>
                  </to>
                </anchor>
              </controlPr>
            </control>
          </mc:Choice>
        </mc:AlternateContent>
        <mc:AlternateContent xmlns:mc="http://schemas.openxmlformats.org/markup-compatibility/2006">
          <mc:Choice Requires="x14">
            <control shapeId="87045" r:id="rId7" name="Check Box 5">
              <controlPr defaultSize="0" autoFill="0" autoLine="0" autoPict="0">
                <anchor moveWithCells="1">
                  <from>
                    <xdr:col>1</xdr:col>
                    <xdr:colOff>2457450</xdr:colOff>
                    <xdr:row>54</xdr:row>
                    <xdr:rowOff>76200</xdr:rowOff>
                  </from>
                  <to>
                    <xdr:col>1</xdr:col>
                    <xdr:colOff>2781300</xdr:colOff>
                    <xdr:row>54</xdr:row>
                    <xdr:rowOff>304800</xdr:rowOff>
                  </to>
                </anchor>
              </controlPr>
            </control>
          </mc:Choice>
        </mc:AlternateContent>
        <mc:AlternateContent xmlns:mc="http://schemas.openxmlformats.org/markup-compatibility/2006">
          <mc:Choice Requires="x14">
            <control shapeId="87046" r:id="rId8" name="Check Box 6">
              <controlPr defaultSize="0" autoFill="0" autoLine="0" autoPict="0">
                <anchor moveWithCells="1">
                  <from>
                    <xdr:col>1</xdr:col>
                    <xdr:colOff>2457450</xdr:colOff>
                    <xdr:row>55</xdr:row>
                    <xdr:rowOff>76200</xdr:rowOff>
                  </from>
                  <to>
                    <xdr:col>1</xdr:col>
                    <xdr:colOff>2781300</xdr:colOff>
                    <xdr:row>55</xdr:row>
                    <xdr:rowOff>304800</xdr:rowOff>
                  </to>
                </anchor>
              </controlPr>
            </control>
          </mc:Choice>
        </mc:AlternateContent>
        <mc:AlternateContent xmlns:mc="http://schemas.openxmlformats.org/markup-compatibility/2006">
          <mc:Choice Requires="x14">
            <control shapeId="87047" r:id="rId9" name="Check Box 7">
              <controlPr defaultSize="0" autoFill="0" autoLine="0" autoPict="0">
                <anchor moveWithCells="1">
                  <from>
                    <xdr:col>1</xdr:col>
                    <xdr:colOff>2457450</xdr:colOff>
                    <xdr:row>56</xdr:row>
                    <xdr:rowOff>76200</xdr:rowOff>
                  </from>
                  <to>
                    <xdr:col>1</xdr:col>
                    <xdr:colOff>2781300</xdr:colOff>
                    <xdr:row>56</xdr:row>
                    <xdr:rowOff>304800</xdr:rowOff>
                  </to>
                </anchor>
              </controlPr>
            </control>
          </mc:Choice>
        </mc:AlternateContent>
        <mc:AlternateContent xmlns:mc="http://schemas.openxmlformats.org/markup-compatibility/2006">
          <mc:Choice Requires="x14">
            <control shapeId="87048" r:id="rId10" name="Check Box 8">
              <controlPr defaultSize="0" autoFill="0" autoLine="0" autoPict="0">
                <anchor moveWithCells="1">
                  <from>
                    <xdr:col>1</xdr:col>
                    <xdr:colOff>2457450</xdr:colOff>
                    <xdr:row>57</xdr:row>
                    <xdr:rowOff>76200</xdr:rowOff>
                  </from>
                  <to>
                    <xdr:col>1</xdr:col>
                    <xdr:colOff>2781300</xdr:colOff>
                    <xdr:row>57</xdr:row>
                    <xdr:rowOff>304800</xdr:rowOff>
                  </to>
                </anchor>
              </controlPr>
            </control>
          </mc:Choice>
        </mc:AlternateContent>
        <mc:AlternateContent xmlns:mc="http://schemas.openxmlformats.org/markup-compatibility/2006">
          <mc:Choice Requires="x14">
            <control shapeId="87049" r:id="rId11" name="Check Box 9">
              <controlPr defaultSize="0" autoFill="0" autoLine="0" autoPict="0">
                <anchor moveWithCells="1">
                  <from>
                    <xdr:col>1</xdr:col>
                    <xdr:colOff>2457450</xdr:colOff>
                    <xdr:row>58</xdr:row>
                    <xdr:rowOff>76200</xdr:rowOff>
                  </from>
                  <to>
                    <xdr:col>1</xdr:col>
                    <xdr:colOff>2781300</xdr:colOff>
                    <xdr:row>58</xdr:row>
                    <xdr:rowOff>304800</xdr:rowOff>
                  </to>
                </anchor>
              </controlPr>
            </control>
          </mc:Choice>
        </mc:AlternateContent>
        <mc:AlternateContent xmlns:mc="http://schemas.openxmlformats.org/markup-compatibility/2006">
          <mc:Choice Requires="x14">
            <control shapeId="87050" r:id="rId12" name="Check Box 10">
              <controlPr defaultSize="0" autoFill="0" autoLine="0" autoPict="0">
                <anchor moveWithCells="1">
                  <from>
                    <xdr:col>1</xdr:col>
                    <xdr:colOff>2457450</xdr:colOff>
                    <xdr:row>59</xdr:row>
                    <xdr:rowOff>76200</xdr:rowOff>
                  </from>
                  <to>
                    <xdr:col>1</xdr:col>
                    <xdr:colOff>2781300</xdr:colOff>
                    <xdr:row>59</xdr:row>
                    <xdr:rowOff>304800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7">
    <tabColor theme="9" tint="-0.249977111117893"/>
    <pageSetUpPr fitToPage="1"/>
  </sheetPr>
  <dimension ref="A1:Z208"/>
  <sheetViews>
    <sheetView showRowColHeaders="0" zoomScaleNormal="100" workbookViewId="0">
      <selection activeCell="C16" sqref="C16"/>
    </sheetView>
  </sheetViews>
  <sheetFormatPr defaultColWidth="8.88671875" defaultRowHeight="15" x14ac:dyDescent="0.2"/>
  <cols>
    <col min="1" max="1" width="5.33203125" style="158" customWidth="1"/>
    <col min="2" max="2" width="38.109375" style="161" customWidth="1"/>
    <col min="3" max="3" width="8.88671875" style="161" customWidth="1"/>
    <col min="4" max="5" width="9.44140625" style="161" bestFit="1" customWidth="1"/>
    <col min="6" max="12" width="9" style="161" bestFit="1" customWidth="1"/>
    <col min="13" max="26" width="8.88671875" style="158"/>
    <col min="27" max="16384" width="8.88671875" style="161"/>
  </cols>
  <sheetData>
    <row r="1" spans="1:26" ht="16.5" thickBot="1" x14ac:dyDescent="0.3">
      <c r="B1" s="158"/>
      <c r="C1" s="158"/>
      <c r="D1" s="160"/>
      <c r="E1" s="160"/>
      <c r="F1" s="160"/>
      <c r="G1" s="61"/>
      <c r="H1" s="62" t="s">
        <v>31</v>
      </c>
      <c r="I1" s="1107">
        <f>'SITE DATA'!F9</f>
        <v>0</v>
      </c>
      <c r="J1" s="1108"/>
      <c r="K1" s="1108"/>
      <c r="L1" s="1109"/>
    </row>
    <row r="2" spans="1:26" x14ac:dyDescent="0.2">
      <c r="B2" s="158"/>
      <c r="C2" s="158"/>
      <c r="D2" s="160"/>
      <c r="E2" s="160"/>
      <c r="F2" s="160"/>
      <c r="G2" s="158"/>
      <c r="H2" s="158"/>
      <c r="I2" s="158"/>
      <c r="J2" s="158"/>
      <c r="K2" s="158"/>
      <c r="L2" s="158"/>
    </row>
    <row r="3" spans="1:26" x14ac:dyDescent="0.2">
      <c r="B3" s="158"/>
      <c r="C3" s="158"/>
      <c r="D3" s="160"/>
      <c r="E3" s="160"/>
      <c r="F3" s="160"/>
      <c r="G3" s="158"/>
      <c r="H3" s="158"/>
      <c r="I3" s="158"/>
      <c r="J3" s="158"/>
      <c r="K3" s="158"/>
      <c r="L3" s="158"/>
    </row>
    <row r="4" spans="1:26" ht="18" x14ac:dyDescent="0.25">
      <c r="B4" s="797" t="s">
        <v>464</v>
      </c>
      <c r="C4" s="797"/>
      <c r="D4" s="797"/>
      <c r="E4" s="797"/>
      <c r="F4" s="797"/>
      <c r="G4" s="797"/>
      <c r="H4" s="797"/>
      <c r="I4" s="797"/>
      <c r="J4" s="797"/>
      <c r="K4" s="797"/>
      <c r="L4" s="797"/>
    </row>
    <row r="5" spans="1:26" ht="18.75" thickBot="1" x14ac:dyDescent="0.3">
      <c r="B5" s="797"/>
      <c r="C5" s="797"/>
      <c r="D5" s="797"/>
      <c r="E5" s="797"/>
      <c r="F5" s="797"/>
      <c r="G5" s="797"/>
      <c r="H5" s="797"/>
      <c r="I5" s="797"/>
      <c r="J5" s="797"/>
      <c r="K5" s="797"/>
      <c r="L5" s="797"/>
    </row>
    <row r="6" spans="1:26" s="306" customFormat="1" ht="24.95" customHeight="1" x14ac:dyDescent="0.2">
      <c r="A6" s="164"/>
      <c r="B6" s="1081" t="s">
        <v>181</v>
      </c>
      <c r="C6" s="1082"/>
      <c r="D6" s="1082"/>
      <c r="E6" s="1082"/>
      <c r="F6" s="1082"/>
      <c r="G6" s="1082"/>
      <c r="H6" s="1082"/>
      <c r="I6" s="1082"/>
      <c r="J6" s="1082"/>
      <c r="K6" s="1082"/>
      <c r="L6" s="1083"/>
      <c r="M6" s="164"/>
      <c r="N6" s="164"/>
      <c r="O6" s="164"/>
      <c r="P6" s="164"/>
      <c r="Q6" s="164"/>
      <c r="R6" s="164"/>
      <c r="S6" s="164"/>
      <c r="T6" s="164"/>
      <c r="U6" s="164"/>
      <c r="V6" s="164"/>
      <c r="W6" s="164"/>
      <c r="X6" s="164"/>
      <c r="Y6" s="164"/>
      <c r="Z6" s="164"/>
    </row>
    <row r="7" spans="1:26" s="310" customFormat="1" ht="24.95" customHeight="1" x14ac:dyDescent="0.2">
      <c r="A7" s="309"/>
      <c r="B7" s="646" t="s">
        <v>196</v>
      </c>
      <c r="C7" s="442" t="s">
        <v>185</v>
      </c>
      <c r="D7" s="442" t="s">
        <v>186</v>
      </c>
      <c r="E7" s="442" t="s">
        <v>187</v>
      </c>
      <c r="F7" s="442" t="s">
        <v>188</v>
      </c>
      <c r="G7" s="442" t="s">
        <v>189</v>
      </c>
      <c r="H7" s="442" t="s">
        <v>190</v>
      </c>
      <c r="I7" s="442" t="s">
        <v>191</v>
      </c>
      <c r="J7" s="442" t="s">
        <v>192</v>
      </c>
      <c r="K7" s="442" t="s">
        <v>193</v>
      </c>
      <c r="L7" s="647" t="s">
        <v>194</v>
      </c>
      <c r="M7" s="309"/>
      <c r="N7" s="309"/>
      <c r="O7" s="309"/>
      <c r="P7" s="309"/>
      <c r="Q7" s="309"/>
      <c r="R7" s="309"/>
      <c r="S7" s="309"/>
      <c r="T7" s="309"/>
      <c r="U7" s="309"/>
      <c r="V7" s="309"/>
      <c r="W7" s="309"/>
      <c r="X7" s="309"/>
      <c r="Y7" s="309"/>
      <c r="Z7" s="309"/>
    </row>
    <row r="8" spans="1:26" s="309" customFormat="1" ht="24.95" customHeight="1" x14ac:dyDescent="0.2">
      <c r="B8" s="940" t="s">
        <v>183</v>
      </c>
      <c r="C8" s="941"/>
      <c r="D8" s="941"/>
      <c r="E8" s="941"/>
      <c r="F8" s="941"/>
      <c r="G8" s="941"/>
      <c r="H8" s="941"/>
      <c r="I8" s="941"/>
      <c r="J8" s="941"/>
      <c r="K8" s="941"/>
      <c r="L8" s="942"/>
    </row>
    <row r="9" spans="1:26" ht="24.95" customHeight="1" x14ac:dyDescent="0.2">
      <c r="B9" s="623" t="s">
        <v>503</v>
      </c>
      <c r="C9" s="626">
        <f>IF(ISERROR('DA1'!$D$93),0,'DA1'!$D$93)</f>
        <v>0</v>
      </c>
      <c r="D9" s="626">
        <f>IF(ISERROR('DA2'!$D$93),0,'DA2'!$D$93)</f>
        <v>0</v>
      </c>
      <c r="E9" s="626">
        <f>IF(ISERROR('DA3'!$D$93),0,'DA3'!$D$93)</f>
        <v>0</v>
      </c>
      <c r="F9" s="626">
        <f>IF(ISERROR('DA4'!$D$93),0,'DA4'!$D$93)</f>
        <v>0</v>
      </c>
      <c r="G9" s="626">
        <f>IF(ISERROR('DA5'!$D$93),0,'DA5'!$D$93)</f>
        <v>0</v>
      </c>
      <c r="H9" s="626">
        <f>IF(ISERROR('DA6'!$D$93),0,'DA6'!$D$93)</f>
        <v>0</v>
      </c>
      <c r="I9" s="626">
        <f>IF(ISERROR('DA7'!$D$93),0,'DA7'!$D$93)</f>
        <v>0</v>
      </c>
      <c r="J9" s="626">
        <f>IF(ISERROR('DA8'!$D$93),0,'DA8'!$D$93)</f>
        <v>0</v>
      </c>
      <c r="K9" s="626">
        <f>IF(ISERROR('DA9'!$D$93),0,'DA9'!$D$93)</f>
        <v>0</v>
      </c>
      <c r="L9" s="627">
        <f>IF(ISERROR('DA10'!$D$93),0,'DA10'!$D$93)</f>
        <v>0</v>
      </c>
      <c r="M9" s="60"/>
      <c r="N9" s="60"/>
      <c r="O9" s="242"/>
    </row>
    <row r="10" spans="1:26" ht="24.95" customHeight="1" x14ac:dyDescent="0.2">
      <c r="B10" s="623" t="s">
        <v>494</v>
      </c>
      <c r="C10" s="323">
        <f>IF(ISERROR('DA1'!$D$92),0,'DA1'!$D$92)</f>
        <v>0</v>
      </c>
      <c r="D10" s="323">
        <f>IF(ISERROR('DA2'!$D$92),0,'DA2'!$D$92)</f>
        <v>0</v>
      </c>
      <c r="E10" s="323">
        <f>IF(ISERROR('DA3'!$D$92),0,'DA3'!$D$92)</f>
        <v>0</v>
      </c>
      <c r="F10" s="323">
        <f>IF(ISERROR('DA4'!$D$92),0,'DA4'!$D$92)</f>
        <v>0</v>
      </c>
      <c r="G10" s="323">
        <f>IF(ISERROR('DA5'!$D$92),0,'DA5'!$D$92)</f>
        <v>0</v>
      </c>
      <c r="H10" s="323">
        <f>IF(ISERROR('DA6'!$D$92),0,'DA6'!$D$92)</f>
        <v>0</v>
      </c>
      <c r="I10" s="323">
        <f>IF(ISERROR('DA7'!$D$92),0,'DA7'!$D$92)</f>
        <v>0</v>
      </c>
      <c r="J10" s="323">
        <f>IF(ISERROR('DA8'!$D$92),0,'DA8'!$D$92)</f>
        <v>0</v>
      </c>
      <c r="K10" s="323">
        <f>IF(ISERROR('DA9'!$D$92),0,'DA9'!$D$92)</f>
        <v>0</v>
      </c>
      <c r="L10" s="618">
        <f>IF(ISERROR('DA10'!$D$92),0,'DA10'!$D$92)</f>
        <v>0</v>
      </c>
      <c r="M10" s="60"/>
      <c r="N10" s="60"/>
      <c r="O10" s="242"/>
    </row>
    <row r="11" spans="1:26" ht="24.95" hidden="1" customHeight="1" x14ac:dyDescent="0.2">
      <c r="B11" s="635">
        <v>0.1</v>
      </c>
      <c r="C11" s="404">
        <f>(0.1*C9)+C9</f>
        <v>0</v>
      </c>
      <c r="D11" s="404">
        <f t="shared" ref="D11:L11" si="0">(0.1*D9)+D9</f>
        <v>0</v>
      </c>
      <c r="E11" s="404">
        <f t="shared" si="0"/>
        <v>0</v>
      </c>
      <c r="F11" s="404">
        <f t="shared" si="0"/>
        <v>0</v>
      </c>
      <c r="G11" s="404">
        <f t="shared" si="0"/>
        <v>0</v>
      </c>
      <c r="H11" s="404">
        <f t="shared" si="0"/>
        <v>0</v>
      </c>
      <c r="I11" s="404">
        <f t="shared" si="0"/>
        <v>0</v>
      </c>
      <c r="J11" s="404">
        <f t="shared" si="0"/>
        <v>0</v>
      </c>
      <c r="K11" s="404">
        <f t="shared" si="0"/>
        <v>0</v>
      </c>
      <c r="L11" s="636">
        <f t="shared" si="0"/>
        <v>0</v>
      </c>
      <c r="M11" s="60"/>
      <c r="N11" s="60"/>
      <c r="O11" s="242"/>
    </row>
    <row r="12" spans="1:26" s="291" customFormat="1" ht="24.95" hidden="1" customHeight="1" x14ac:dyDescent="0.2">
      <c r="A12" s="166"/>
      <c r="B12" s="635">
        <v>0.1</v>
      </c>
      <c r="C12" s="447">
        <f>(0.1*C10)+C10</f>
        <v>0</v>
      </c>
      <c r="D12" s="447">
        <f t="shared" ref="D12:L12" si="1">(0.1*D10)+D10</f>
        <v>0</v>
      </c>
      <c r="E12" s="447">
        <f t="shared" si="1"/>
        <v>0</v>
      </c>
      <c r="F12" s="447">
        <f t="shared" si="1"/>
        <v>0</v>
      </c>
      <c r="G12" s="447">
        <f t="shared" si="1"/>
        <v>0</v>
      </c>
      <c r="H12" s="447">
        <f t="shared" si="1"/>
        <v>0</v>
      </c>
      <c r="I12" s="447">
        <f t="shared" si="1"/>
        <v>0</v>
      </c>
      <c r="J12" s="447">
        <f t="shared" si="1"/>
        <v>0</v>
      </c>
      <c r="K12" s="447">
        <f t="shared" si="1"/>
        <v>0</v>
      </c>
      <c r="L12" s="648">
        <f t="shared" si="1"/>
        <v>0</v>
      </c>
      <c r="M12" s="243"/>
      <c r="N12" s="243"/>
      <c r="O12" s="243"/>
      <c r="P12" s="166"/>
      <c r="Q12" s="166"/>
      <c r="R12" s="166"/>
      <c r="S12" s="166"/>
      <c r="T12" s="166"/>
      <c r="U12" s="166"/>
      <c r="V12" s="166"/>
      <c r="W12" s="166"/>
      <c r="X12" s="166"/>
      <c r="Y12" s="166"/>
      <c r="Z12" s="166"/>
    </row>
    <row r="13" spans="1:26" ht="24.95" customHeight="1" x14ac:dyDescent="0.2">
      <c r="B13" s="940" t="s">
        <v>184</v>
      </c>
      <c r="C13" s="941"/>
      <c r="D13" s="941"/>
      <c r="E13" s="941"/>
      <c r="F13" s="941"/>
      <c r="G13" s="941"/>
      <c r="H13" s="941"/>
      <c r="I13" s="941"/>
      <c r="J13" s="941"/>
      <c r="K13" s="941"/>
      <c r="L13" s="942"/>
      <c r="M13" s="60"/>
      <c r="N13" s="60"/>
      <c r="O13" s="242"/>
    </row>
    <row r="14" spans="1:26" ht="24.95" customHeight="1" x14ac:dyDescent="0.2">
      <c r="B14" s="1099" t="s">
        <v>376</v>
      </c>
      <c r="C14" s="1100"/>
      <c r="D14" s="1100"/>
      <c r="E14" s="1100"/>
      <c r="F14" s="1100"/>
      <c r="G14" s="1100"/>
      <c r="H14" s="1100"/>
      <c r="I14" s="1100"/>
      <c r="J14" s="1100"/>
      <c r="K14" s="1100"/>
      <c r="L14" s="1101"/>
      <c r="M14" s="60"/>
    </row>
    <row r="15" spans="1:26" ht="24.95" customHeight="1" x14ac:dyDescent="0.2">
      <c r="B15" s="623" t="s">
        <v>412</v>
      </c>
      <c r="C15" s="388" t="str">
        <f>IF(ISERROR(DA1_BMPs!$D$93),0,DA1_BMPs!$D$93)</f>
        <v xml:space="preserve"> </v>
      </c>
      <c r="D15" s="388">
        <f>IF(ISERROR(DA2_BMPs!$D$93),0,DA2_BMPs!$D$93)</f>
        <v>0</v>
      </c>
      <c r="E15" s="388">
        <f>IF(ISERROR(DA3_BMPs!$D$93),0,DA3_BMPs!$D$93)</f>
        <v>0</v>
      </c>
      <c r="F15" s="388">
        <f>IF(ISERROR(DA4_BMPs!$D$93),0,DA4_BMPs!$D$93)</f>
        <v>0</v>
      </c>
      <c r="G15" s="388">
        <f>IF(ISERROR(DA5_BMPs!$D$93),0,DA5_BMPs!$D$93)</f>
        <v>0</v>
      </c>
      <c r="H15" s="388">
        <f>IF(ISERROR(DA6_BMPs!$D$93),0,DA6_BMPs!$D$93)</f>
        <v>0</v>
      </c>
      <c r="I15" s="388">
        <f>IF(ISERROR(DA7_BMPs!$D$93),0,DA7_BMPs!$D$93)</f>
        <v>0</v>
      </c>
      <c r="J15" s="388">
        <f>IF(ISERROR(DA8_BMPs!$D$93),0,DA8_BMPs!$D$93)</f>
        <v>0</v>
      </c>
      <c r="K15" s="388">
        <f>IF(ISERROR(DA9_BMPs!$D$93),0,DA9_BMPs!$D$93)</f>
        <v>0</v>
      </c>
      <c r="L15" s="640">
        <f>IF(ISERROR(DA10_BMPs!$D$93),0,DA10_BMPs!$D$93)</f>
        <v>0</v>
      </c>
      <c r="M15" s="59"/>
      <c r="N15" s="59"/>
      <c r="O15" s="242"/>
    </row>
    <row r="16" spans="1:26" ht="24.95" customHeight="1" thickBot="1" x14ac:dyDescent="0.25">
      <c r="B16" s="649" t="s">
        <v>466</v>
      </c>
      <c r="C16" s="650">
        <f>IF(ISERROR(DA1_BMPs!$D$90),0,DA1_BMPs!$D$90)</f>
        <v>0</v>
      </c>
      <c r="D16" s="650">
        <f>IF(ISERROR(DA2_BMPs!$D$90),0,DA2_BMPs!$D$90)</f>
        <v>0</v>
      </c>
      <c r="E16" s="650">
        <f>IF(ISERROR(DA3_BMPs!$D$90),0,DA3_BMPs!$D$90)</f>
        <v>0</v>
      </c>
      <c r="F16" s="650">
        <f>IF(ISERROR(DA4_BMPs!$D$90),0,DA4_BMPs!$D$90)</f>
        <v>0</v>
      </c>
      <c r="G16" s="650">
        <f>IF(ISERROR(DA5_BMPs!$D$90),0,DA5_BMPs!$D$90)</f>
        <v>0</v>
      </c>
      <c r="H16" s="650">
        <f>IF(ISERROR(DA6_BMPs!$D$90),0,DA6_BMPs!$D$90)</f>
        <v>0</v>
      </c>
      <c r="I16" s="650">
        <f>IF(ISERROR(DA7_BMPs!$D$90),0,DA7_BMPs!$D$90)</f>
        <v>0</v>
      </c>
      <c r="J16" s="650">
        <f>IF(ISERROR(DA8_BMPs!$D$90),0,DA8_BMPs!$D$90)</f>
        <v>0</v>
      </c>
      <c r="K16" s="650">
        <f>IF(ISERROR(DA9_BMPs!$D$90),0,DA9_BMPs!$D$90)</f>
        <v>0</v>
      </c>
      <c r="L16" s="651">
        <f>IF(ISERROR(DA10_BMPs!$D$90),0,DA10_BMPs!$D$90)</f>
        <v>0</v>
      </c>
      <c r="M16" s="59"/>
      <c r="N16" s="59"/>
      <c r="O16" s="242"/>
    </row>
    <row r="17" spans="2:12" ht="24.95" customHeight="1" x14ac:dyDescent="0.2">
      <c r="B17" s="158"/>
      <c r="C17" s="158"/>
      <c r="D17" s="407"/>
      <c r="E17" s="158"/>
      <c r="F17" s="158"/>
      <c r="G17" s="158"/>
      <c r="H17" s="158"/>
      <c r="I17" s="158"/>
      <c r="J17" s="158"/>
      <c r="K17" s="158"/>
      <c r="L17" s="158"/>
    </row>
    <row r="18" spans="2:12" ht="24.95" customHeight="1" x14ac:dyDescent="0.2">
      <c r="B18" s="158"/>
      <c r="C18" s="158"/>
      <c r="D18" s="158"/>
      <c r="E18" s="158"/>
      <c r="F18" s="158"/>
      <c r="G18" s="158"/>
      <c r="H18" s="158"/>
      <c r="I18" s="158"/>
      <c r="J18" s="158"/>
      <c r="K18" s="158"/>
      <c r="L18" s="158"/>
    </row>
    <row r="19" spans="2:12" x14ac:dyDescent="0.2">
      <c r="B19" s="158"/>
      <c r="C19" s="158"/>
      <c r="D19" s="158"/>
      <c r="E19" s="158"/>
      <c r="F19" s="158"/>
      <c r="G19" s="158"/>
      <c r="H19" s="158"/>
      <c r="I19" s="158"/>
      <c r="J19" s="158"/>
      <c r="K19" s="158"/>
      <c r="L19" s="158"/>
    </row>
    <row r="20" spans="2:12" x14ac:dyDescent="0.2">
      <c r="B20" s="158"/>
      <c r="C20" s="158"/>
      <c r="D20" s="158"/>
      <c r="E20" s="158"/>
      <c r="F20" s="158"/>
      <c r="G20" s="158"/>
      <c r="H20" s="158"/>
      <c r="I20" s="158"/>
      <c r="J20" s="158"/>
      <c r="K20" s="158"/>
      <c r="L20" s="158"/>
    </row>
    <row r="21" spans="2:12" s="158" customFormat="1" x14ac:dyDescent="0.2"/>
    <row r="22" spans="2:12" s="158" customFormat="1" x14ac:dyDescent="0.2"/>
    <row r="23" spans="2:12" s="158" customFormat="1" x14ac:dyDescent="0.2"/>
    <row r="24" spans="2:12" s="158" customFormat="1" x14ac:dyDescent="0.2"/>
    <row r="25" spans="2:12" s="158" customFormat="1" x14ac:dyDescent="0.2"/>
    <row r="26" spans="2:12" s="158" customFormat="1" x14ac:dyDescent="0.2"/>
    <row r="27" spans="2:12" s="158" customFormat="1" x14ac:dyDescent="0.2"/>
    <row r="28" spans="2:12" s="158" customFormat="1" x14ac:dyDescent="0.2"/>
    <row r="29" spans="2:12" s="158" customFormat="1" x14ac:dyDescent="0.2"/>
    <row r="30" spans="2:12" s="158" customFormat="1" x14ac:dyDescent="0.2"/>
    <row r="31" spans="2:12" s="158" customFormat="1" x14ac:dyDescent="0.2"/>
    <row r="32" spans="2:12" s="158" customFormat="1" x14ac:dyDescent="0.2"/>
    <row r="33" s="158" customFormat="1" x14ac:dyDescent="0.2"/>
    <row r="34" s="158" customFormat="1" x14ac:dyDescent="0.2"/>
    <row r="35" s="158" customFormat="1" x14ac:dyDescent="0.2"/>
    <row r="36" s="158" customFormat="1" x14ac:dyDescent="0.2"/>
    <row r="37" s="158" customFormat="1" x14ac:dyDescent="0.2"/>
    <row r="38" s="158" customFormat="1" x14ac:dyDescent="0.2"/>
    <row r="39" s="158" customFormat="1" x14ac:dyDescent="0.2"/>
    <row r="40" s="158" customFormat="1" x14ac:dyDescent="0.2"/>
    <row r="41" s="158" customFormat="1" x14ac:dyDescent="0.2"/>
    <row r="42" s="158" customFormat="1" x14ac:dyDescent="0.2"/>
    <row r="43" s="158" customFormat="1" x14ac:dyDescent="0.2"/>
    <row r="44" s="158" customFormat="1" x14ac:dyDescent="0.2"/>
    <row r="45" s="158" customFormat="1" x14ac:dyDescent="0.2"/>
    <row r="46" s="158" customFormat="1" x14ac:dyDescent="0.2"/>
    <row r="47" s="158" customFormat="1" x14ac:dyDescent="0.2"/>
    <row r="48" s="158" customFormat="1" x14ac:dyDescent="0.2"/>
    <row r="49" s="158" customFormat="1" x14ac:dyDescent="0.2"/>
    <row r="50" s="158" customFormat="1" x14ac:dyDescent="0.2"/>
    <row r="51" s="158" customFormat="1" x14ac:dyDescent="0.2"/>
    <row r="52" s="158" customFormat="1" x14ac:dyDescent="0.2"/>
    <row r="53" s="158" customFormat="1" x14ac:dyDescent="0.2"/>
    <row r="54" s="158" customFormat="1" x14ac:dyDescent="0.2"/>
    <row r="55" s="158" customFormat="1" x14ac:dyDescent="0.2"/>
    <row r="56" s="158" customFormat="1" x14ac:dyDescent="0.2"/>
    <row r="57" s="158" customFormat="1" x14ac:dyDescent="0.2"/>
    <row r="58" s="158" customFormat="1" x14ac:dyDescent="0.2"/>
    <row r="59" s="158" customFormat="1" x14ac:dyDescent="0.2"/>
    <row r="60" s="158" customFormat="1" x14ac:dyDescent="0.2"/>
    <row r="61" s="158" customFormat="1" x14ac:dyDescent="0.2"/>
    <row r="62" s="158" customFormat="1" x14ac:dyDescent="0.2"/>
    <row r="63" s="158" customFormat="1" x14ac:dyDescent="0.2"/>
    <row r="64" s="158" customFormat="1" x14ac:dyDescent="0.2"/>
    <row r="65" s="158" customFormat="1" x14ac:dyDescent="0.2"/>
    <row r="66" s="158" customFormat="1" x14ac:dyDescent="0.2"/>
    <row r="67" s="158" customFormat="1" x14ac:dyDescent="0.2"/>
    <row r="68" s="158" customFormat="1" x14ac:dyDescent="0.2"/>
    <row r="69" s="158" customFormat="1" x14ac:dyDescent="0.2"/>
    <row r="70" s="158" customFormat="1" x14ac:dyDescent="0.2"/>
    <row r="71" s="158" customFormat="1" x14ac:dyDescent="0.2"/>
    <row r="72" s="158" customFormat="1" x14ac:dyDescent="0.2"/>
    <row r="73" s="158" customFormat="1" x14ac:dyDescent="0.2"/>
    <row r="74" s="158" customFormat="1" x14ac:dyDescent="0.2"/>
    <row r="75" s="158" customFormat="1" x14ac:dyDescent="0.2"/>
    <row r="76" s="158" customFormat="1" x14ac:dyDescent="0.2"/>
    <row r="77" s="158" customFormat="1" x14ac:dyDescent="0.2"/>
    <row r="78" s="158" customFormat="1" x14ac:dyDescent="0.2"/>
    <row r="79" s="158" customFormat="1" x14ac:dyDescent="0.2"/>
    <row r="80" s="158" customFormat="1" x14ac:dyDescent="0.2"/>
    <row r="81" s="158" customFormat="1" x14ac:dyDescent="0.2"/>
    <row r="82" s="158" customFormat="1" x14ac:dyDescent="0.2"/>
    <row r="83" s="158" customFormat="1" x14ac:dyDescent="0.2"/>
    <row r="84" s="158" customFormat="1" x14ac:dyDescent="0.2"/>
    <row r="85" s="158" customFormat="1" x14ac:dyDescent="0.2"/>
    <row r="86" s="158" customFormat="1" x14ac:dyDescent="0.2"/>
    <row r="87" s="158" customFormat="1" x14ac:dyDescent="0.2"/>
    <row r="88" s="158" customFormat="1" x14ac:dyDescent="0.2"/>
    <row r="89" s="158" customFormat="1" x14ac:dyDescent="0.2"/>
    <row r="90" s="158" customFormat="1" x14ac:dyDescent="0.2"/>
    <row r="91" s="158" customFormat="1" x14ac:dyDescent="0.2"/>
    <row r="92" s="158" customFormat="1" x14ac:dyDescent="0.2"/>
    <row r="93" s="158" customFormat="1" x14ac:dyDescent="0.2"/>
    <row r="94" s="158" customFormat="1" x14ac:dyDescent="0.2"/>
    <row r="95" s="158" customFormat="1" x14ac:dyDescent="0.2"/>
    <row r="96" s="158" customFormat="1" x14ac:dyDescent="0.2"/>
    <row r="97" s="158" customFormat="1" x14ac:dyDescent="0.2"/>
    <row r="98" s="158" customFormat="1" x14ac:dyDescent="0.2"/>
    <row r="99" s="158" customFormat="1" x14ac:dyDescent="0.2"/>
    <row r="100" s="158" customFormat="1" x14ac:dyDescent="0.2"/>
    <row r="101" s="158" customFormat="1" x14ac:dyDescent="0.2"/>
    <row r="102" s="158" customFormat="1" x14ac:dyDescent="0.2"/>
    <row r="103" s="158" customFormat="1" x14ac:dyDescent="0.2"/>
    <row r="104" s="158" customFormat="1" x14ac:dyDescent="0.2"/>
    <row r="105" s="158" customFormat="1" x14ac:dyDescent="0.2"/>
    <row r="106" s="158" customFormat="1" x14ac:dyDescent="0.2"/>
    <row r="107" s="158" customFormat="1" x14ac:dyDescent="0.2"/>
    <row r="108" s="158" customFormat="1" x14ac:dyDescent="0.2"/>
    <row r="109" s="158" customFormat="1" x14ac:dyDescent="0.2"/>
    <row r="110" s="158" customFormat="1" x14ac:dyDescent="0.2"/>
    <row r="111" s="158" customFormat="1" x14ac:dyDescent="0.2"/>
    <row r="112" s="158" customFormat="1" x14ac:dyDescent="0.2"/>
    <row r="113" s="158" customFormat="1" x14ac:dyDescent="0.2"/>
    <row r="114" s="158" customFormat="1" x14ac:dyDescent="0.2"/>
    <row r="115" s="158" customFormat="1" x14ac:dyDescent="0.2"/>
    <row r="116" s="158" customFormat="1" x14ac:dyDescent="0.2"/>
    <row r="117" s="158" customFormat="1" x14ac:dyDescent="0.2"/>
    <row r="118" s="158" customFormat="1" x14ac:dyDescent="0.2"/>
    <row r="119" s="158" customFormat="1" x14ac:dyDescent="0.2"/>
    <row r="120" s="158" customFormat="1" x14ac:dyDescent="0.2"/>
    <row r="121" s="158" customFormat="1" x14ac:dyDescent="0.2"/>
    <row r="122" s="158" customFormat="1" x14ac:dyDescent="0.2"/>
    <row r="123" s="158" customFormat="1" x14ac:dyDescent="0.2"/>
    <row r="124" s="158" customFormat="1" x14ac:dyDescent="0.2"/>
    <row r="125" s="158" customFormat="1" x14ac:dyDescent="0.2"/>
    <row r="126" s="158" customFormat="1" x14ac:dyDescent="0.2"/>
    <row r="127" s="158" customFormat="1" x14ac:dyDescent="0.2"/>
    <row r="128" s="158" customFormat="1" x14ac:dyDescent="0.2"/>
    <row r="129" s="158" customFormat="1" x14ac:dyDescent="0.2"/>
    <row r="130" s="158" customFormat="1" x14ac:dyDescent="0.2"/>
    <row r="131" s="158" customFormat="1" x14ac:dyDescent="0.2"/>
    <row r="132" s="158" customFormat="1" x14ac:dyDescent="0.2"/>
    <row r="133" s="158" customFormat="1" x14ac:dyDescent="0.2"/>
    <row r="134" s="158" customFormat="1" x14ac:dyDescent="0.2"/>
    <row r="135" s="158" customFormat="1" x14ac:dyDescent="0.2"/>
    <row r="136" s="158" customFormat="1" x14ac:dyDescent="0.2"/>
    <row r="137" s="158" customFormat="1" x14ac:dyDescent="0.2"/>
    <row r="138" s="158" customFormat="1" x14ac:dyDescent="0.2"/>
    <row r="139" s="158" customFormat="1" x14ac:dyDescent="0.2"/>
    <row r="140" s="158" customFormat="1" x14ac:dyDescent="0.2"/>
    <row r="141" s="158" customFormat="1" x14ac:dyDescent="0.2"/>
    <row r="142" s="158" customFormat="1" x14ac:dyDescent="0.2"/>
    <row r="143" s="158" customFormat="1" x14ac:dyDescent="0.2"/>
    <row r="144" s="158" customFormat="1" x14ac:dyDescent="0.2"/>
    <row r="145" s="158" customFormat="1" x14ac:dyDescent="0.2"/>
    <row r="146" s="158" customFormat="1" x14ac:dyDescent="0.2"/>
    <row r="147" s="158" customFormat="1" x14ac:dyDescent="0.2"/>
    <row r="148" s="158" customFormat="1" x14ac:dyDescent="0.2"/>
    <row r="149" s="158" customFormat="1" x14ac:dyDescent="0.2"/>
    <row r="150" s="158" customFormat="1" x14ac:dyDescent="0.2"/>
    <row r="151" s="158" customFormat="1" x14ac:dyDescent="0.2"/>
    <row r="152" s="158" customFormat="1" x14ac:dyDescent="0.2"/>
    <row r="153" s="158" customFormat="1" x14ac:dyDescent="0.2"/>
    <row r="154" s="158" customFormat="1" x14ac:dyDescent="0.2"/>
    <row r="155" s="158" customFormat="1" x14ac:dyDescent="0.2"/>
    <row r="156" s="158" customFormat="1" x14ac:dyDescent="0.2"/>
    <row r="157" s="158" customFormat="1" x14ac:dyDescent="0.2"/>
    <row r="158" s="158" customFormat="1" x14ac:dyDescent="0.2"/>
    <row r="159" s="158" customFormat="1" x14ac:dyDescent="0.2"/>
    <row r="160" s="158" customFormat="1" x14ac:dyDescent="0.2"/>
    <row r="161" s="158" customFormat="1" x14ac:dyDescent="0.2"/>
    <row r="162" s="158" customFormat="1" x14ac:dyDescent="0.2"/>
    <row r="163" s="158" customFormat="1" x14ac:dyDescent="0.2"/>
    <row r="164" s="158" customFormat="1" x14ac:dyDescent="0.2"/>
    <row r="165" s="158" customFormat="1" x14ac:dyDescent="0.2"/>
    <row r="166" s="158" customFormat="1" x14ac:dyDescent="0.2"/>
    <row r="167" s="158" customFormat="1" x14ac:dyDescent="0.2"/>
    <row r="168" s="158" customFormat="1" x14ac:dyDescent="0.2"/>
    <row r="169" s="158" customFormat="1" x14ac:dyDescent="0.2"/>
    <row r="170" s="158" customFormat="1" x14ac:dyDescent="0.2"/>
    <row r="171" s="158" customFormat="1" x14ac:dyDescent="0.2"/>
    <row r="172" s="158" customFormat="1" x14ac:dyDescent="0.2"/>
    <row r="173" s="158" customFormat="1" x14ac:dyDescent="0.2"/>
    <row r="174" s="158" customFormat="1" x14ac:dyDescent="0.2"/>
    <row r="175" s="158" customFormat="1" x14ac:dyDescent="0.2"/>
    <row r="176" s="158" customFormat="1" x14ac:dyDescent="0.2"/>
    <row r="177" s="158" customFormat="1" x14ac:dyDescent="0.2"/>
    <row r="178" s="158" customFormat="1" x14ac:dyDescent="0.2"/>
    <row r="179" s="158" customFormat="1" x14ac:dyDescent="0.2"/>
    <row r="180" s="158" customFormat="1" x14ac:dyDescent="0.2"/>
    <row r="181" s="158" customFormat="1" x14ac:dyDescent="0.2"/>
    <row r="182" s="158" customFormat="1" x14ac:dyDescent="0.2"/>
    <row r="183" s="158" customFormat="1" x14ac:dyDescent="0.2"/>
    <row r="184" s="158" customFormat="1" x14ac:dyDescent="0.2"/>
    <row r="185" s="158" customFormat="1" x14ac:dyDescent="0.2"/>
    <row r="186" s="158" customFormat="1" x14ac:dyDescent="0.2"/>
    <row r="187" s="158" customFormat="1" x14ac:dyDescent="0.2"/>
    <row r="188" s="158" customFormat="1" x14ac:dyDescent="0.2"/>
    <row r="189" s="158" customFormat="1" x14ac:dyDescent="0.2"/>
    <row r="190" s="158" customFormat="1" x14ac:dyDescent="0.2"/>
    <row r="191" s="158" customFormat="1" x14ac:dyDescent="0.2"/>
    <row r="192" s="158" customFormat="1" x14ac:dyDescent="0.2"/>
    <row r="193" s="158" customFormat="1" x14ac:dyDescent="0.2"/>
    <row r="194" s="158" customFormat="1" x14ac:dyDescent="0.2"/>
    <row r="195" s="158" customFormat="1" x14ac:dyDescent="0.2"/>
    <row r="196" s="158" customFormat="1" x14ac:dyDescent="0.2"/>
    <row r="197" s="158" customFormat="1" x14ac:dyDescent="0.2"/>
    <row r="198" s="158" customFormat="1" x14ac:dyDescent="0.2"/>
    <row r="199" s="158" customFormat="1" x14ac:dyDescent="0.2"/>
    <row r="200" s="158" customFormat="1" x14ac:dyDescent="0.2"/>
    <row r="201" s="158" customFormat="1" x14ac:dyDescent="0.2"/>
    <row r="202" s="158" customFormat="1" x14ac:dyDescent="0.2"/>
    <row r="203" s="158" customFormat="1" x14ac:dyDescent="0.2"/>
    <row r="204" s="158" customFormat="1" x14ac:dyDescent="0.2"/>
    <row r="205" s="158" customFormat="1" x14ac:dyDescent="0.2"/>
    <row r="206" s="158" customFormat="1" x14ac:dyDescent="0.2"/>
    <row r="207" s="158" customFormat="1" x14ac:dyDescent="0.2"/>
    <row r="208" s="158" customFormat="1" x14ac:dyDescent="0.2"/>
  </sheetData>
  <sheetProtection password="E421" sheet="1" objects="1" scenarios="1"/>
  <mergeCells count="7">
    <mergeCell ref="B14:L14"/>
    <mergeCell ref="B13:L13"/>
    <mergeCell ref="I1:L1"/>
    <mergeCell ref="B4:L4"/>
    <mergeCell ref="B5:L5"/>
    <mergeCell ref="B6:L6"/>
    <mergeCell ref="B8:L8"/>
  </mergeCells>
  <conditionalFormatting sqref="I1:L1">
    <cfRule type="containsText" dxfId="23" priority="71" operator="containsText" text="0">
      <formula>NOT(ISERROR(SEARCH("0",I1)))</formula>
    </cfRule>
  </conditionalFormatting>
  <conditionalFormatting sqref="B9:B16 B11:L11 C9:L13 C15:L16">
    <cfRule type="cellIs" dxfId="22" priority="22" stopIfTrue="1" operator="lessThanOrEqual">
      <formula>0</formula>
    </cfRule>
    <cfRule type="containsErrors" dxfId="21" priority="23" stopIfTrue="1">
      <formula>ISERROR(B9)</formula>
    </cfRule>
  </conditionalFormatting>
  <conditionalFormatting sqref="C16:L16">
    <cfRule type="cellIs" dxfId="20" priority="10" operator="greaterThan">
      <formula>$C$12</formula>
    </cfRule>
    <cfRule type="cellIs" dxfId="19" priority="21" operator="greaterThan">
      <formula>$C$10</formula>
    </cfRule>
  </conditionalFormatting>
  <conditionalFormatting sqref="C15:L15">
    <cfRule type="cellIs" dxfId="18" priority="20" operator="greaterThan">
      <formula>$C$11</formula>
    </cfRule>
  </conditionalFormatting>
  <conditionalFormatting sqref="D15">
    <cfRule type="cellIs" dxfId="17" priority="19" operator="greaterThan">
      <formula>$D$11</formula>
    </cfRule>
  </conditionalFormatting>
  <conditionalFormatting sqref="E15">
    <cfRule type="cellIs" dxfId="16" priority="18" operator="greaterThan">
      <formula>$E$11</formula>
    </cfRule>
  </conditionalFormatting>
  <conditionalFormatting sqref="F15">
    <cfRule type="cellIs" dxfId="15" priority="17" operator="greaterThan">
      <formula>$F$11</formula>
    </cfRule>
  </conditionalFormatting>
  <conditionalFormatting sqref="G15">
    <cfRule type="cellIs" dxfId="14" priority="16" operator="greaterThan">
      <formula>$G$11</formula>
    </cfRule>
  </conditionalFormatting>
  <conditionalFormatting sqref="H15">
    <cfRule type="cellIs" dxfId="13" priority="15" operator="greaterThan">
      <formula>$H$11</formula>
    </cfRule>
  </conditionalFormatting>
  <conditionalFormatting sqref="I15">
    <cfRule type="cellIs" dxfId="12" priority="14" operator="greaterThan">
      <formula>$I$11</formula>
    </cfRule>
  </conditionalFormatting>
  <conditionalFormatting sqref="J15">
    <cfRule type="cellIs" dxfId="11" priority="13" operator="greaterThan">
      <formula>$J$11</formula>
    </cfRule>
  </conditionalFormatting>
  <conditionalFormatting sqref="K15">
    <cfRule type="cellIs" dxfId="10" priority="12" operator="greaterThan">
      <formula>$K$11</formula>
    </cfRule>
  </conditionalFormatting>
  <conditionalFormatting sqref="L15">
    <cfRule type="cellIs" dxfId="9" priority="11" operator="greaterThan">
      <formula>$L$11</formula>
    </cfRule>
  </conditionalFormatting>
  <conditionalFormatting sqref="D16">
    <cfRule type="cellIs" dxfId="8" priority="9" operator="greaterThan">
      <formula>$D$12</formula>
    </cfRule>
  </conditionalFormatting>
  <conditionalFormatting sqref="E16">
    <cfRule type="cellIs" dxfId="7" priority="8" operator="greaterThan">
      <formula>$E$12</formula>
    </cfRule>
  </conditionalFormatting>
  <conditionalFormatting sqref="F16">
    <cfRule type="cellIs" dxfId="6" priority="7" operator="greaterThan">
      <formula>$F$12</formula>
    </cfRule>
  </conditionalFormatting>
  <conditionalFormatting sqref="G16">
    <cfRule type="cellIs" dxfId="5" priority="6" operator="greaterThan">
      <formula>$G$12</formula>
    </cfRule>
  </conditionalFormatting>
  <conditionalFormatting sqref="H16">
    <cfRule type="cellIs" dxfId="4" priority="5" operator="greaterThan">
      <formula>$H$12</formula>
    </cfRule>
  </conditionalFormatting>
  <conditionalFormatting sqref="I16">
    <cfRule type="cellIs" dxfId="3" priority="4" operator="greaterThan">
      <formula>$I$12</formula>
    </cfRule>
  </conditionalFormatting>
  <conditionalFormatting sqref="J16">
    <cfRule type="cellIs" dxfId="2" priority="3" operator="greaterThan">
      <formula>$J$12</formula>
    </cfRule>
  </conditionalFormatting>
  <conditionalFormatting sqref="K16">
    <cfRule type="cellIs" dxfId="1" priority="2" operator="greaterThan">
      <formula>$K$12</formula>
    </cfRule>
  </conditionalFormatting>
  <conditionalFormatting sqref="L16">
    <cfRule type="cellIs" dxfId="0" priority="1" operator="greaterThan">
      <formula>$L$12</formula>
    </cfRule>
  </conditionalFormatting>
  <printOptions horizontalCentered="1"/>
  <pageMargins left="0.7" right="0.7" top="0.75" bottom="0.75" header="0.3" footer="0.3"/>
  <pageSetup scale="79" orientation="landscape" r:id="rId1"/>
  <headerFooter>
    <oddFooter>&amp;A&amp;RPage &amp;P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FF0000"/>
  </sheetPr>
  <dimension ref="A1:AL272"/>
  <sheetViews>
    <sheetView showRowColHeaders="0" topLeftCell="A18" zoomScale="85" zoomScaleNormal="85" workbookViewId="0">
      <selection activeCell="F47" sqref="F47:L54"/>
    </sheetView>
  </sheetViews>
  <sheetFormatPr defaultRowHeight="15" x14ac:dyDescent="0.2"/>
  <cols>
    <col min="1" max="1" width="8.88671875" style="97"/>
    <col min="2" max="2" width="8.88671875" style="1" customWidth="1"/>
    <col min="3" max="3" width="14.109375" style="1" customWidth="1"/>
    <col min="4" max="4" width="8.88671875" style="1"/>
    <col min="5" max="5" width="12.6640625" style="1" customWidth="1"/>
    <col min="6" max="6" width="8.88671875" style="1"/>
    <col min="7" max="7" width="10.109375" style="1" customWidth="1"/>
    <col min="8" max="8" width="10.21875" style="1" customWidth="1"/>
    <col min="9" max="9" width="8.88671875" style="1"/>
    <col min="10" max="10" width="12.109375" style="1" customWidth="1"/>
    <col min="11" max="11" width="16.6640625" style="1" customWidth="1"/>
    <col min="12" max="12" width="10.109375" style="1" customWidth="1"/>
    <col min="13" max="13" width="10" style="1" customWidth="1"/>
    <col min="14" max="14" width="8.88671875" style="1"/>
    <col min="15" max="38" width="8.88671875" style="97"/>
    <col min="39" max="16384" width="8.88671875" style="1"/>
  </cols>
  <sheetData>
    <row r="1" spans="1:38" ht="15.75" thickBot="1" x14ac:dyDescent="0.25">
      <c r="B1" s="1230"/>
      <c r="C1" s="1230"/>
      <c r="D1" s="1230"/>
      <c r="E1" s="1230"/>
      <c r="F1" s="1230"/>
      <c r="G1" s="1230"/>
      <c r="H1" s="1230"/>
      <c r="I1" s="1230"/>
      <c r="J1" s="1230"/>
      <c r="K1" s="1230"/>
      <c r="L1" s="1230"/>
      <c r="M1" s="1230"/>
      <c r="N1" s="1230"/>
    </row>
    <row r="2" spans="1:38" ht="25.5" customHeight="1" x14ac:dyDescent="0.2">
      <c r="B2" s="1231" t="s">
        <v>170</v>
      </c>
      <c r="C2" s="1232"/>
      <c r="D2" s="1232"/>
      <c r="E2" s="1232"/>
      <c r="F2" s="1232"/>
      <c r="G2" s="1232"/>
      <c r="H2" s="1232"/>
      <c r="I2" s="1232"/>
      <c r="J2" s="1232"/>
      <c r="K2" s="1232"/>
      <c r="L2" s="1232"/>
      <c r="M2" s="1232"/>
      <c r="N2" s="1232"/>
      <c r="O2" s="1232"/>
      <c r="P2" s="1233"/>
    </row>
    <row r="3" spans="1:38" ht="15" customHeight="1" thickBot="1" x14ac:dyDescent="0.25">
      <c r="B3" s="1234"/>
      <c r="C3" s="1235"/>
      <c r="D3" s="1235"/>
      <c r="E3" s="1235"/>
      <c r="F3" s="1235"/>
      <c r="G3" s="1235"/>
      <c r="H3" s="1235"/>
      <c r="I3" s="1235"/>
      <c r="J3" s="1235"/>
      <c r="K3" s="1235"/>
      <c r="L3" s="1235"/>
      <c r="M3" s="1235"/>
      <c r="N3" s="1235"/>
      <c r="O3" s="1235"/>
      <c r="P3" s="1236"/>
    </row>
    <row r="4" spans="1:38" ht="15.75" thickBot="1" x14ac:dyDescent="0.25">
      <c r="B4" s="81"/>
      <c r="C4" s="97"/>
      <c r="D4" s="97"/>
      <c r="E4" s="97"/>
      <c r="F4" s="97"/>
      <c r="G4" s="97"/>
      <c r="H4" s="97"/>
      <c r="I4" s="97"/>
      <c r="J4" s="97"/>
      <c r="K4" s="97"/>
      <c r="L4" s="97"/>
      <c r="M4" s="97"/>
      <c r="N4" s="97"/>
      <c r="P4" s="11"/>
    </row>
    <row r="5" spans="1:38" s="4" customFormat="1" ht="37.5" customHeight="1" x14ac:dyDescent="0.2">
      <c r="A5" s="94"/>
      <c r="B5" s="43"/>
      <c r="C5" s="78"/>
      <c r="D5" s="1310" t="s">
        <v>168</v>
      </c>
      <c r="E5" s="1311"/>
      <c r="F5" s="1311"/>
      <c r="G5" s="1311"/>
      <c r="H5" s="1311"/>
      <c r="I5" s="1311"/>
      <c r="J5" s="1311"/>
      <c r="K5" s="1311"/>
      <c r="L5" s="1311"/>
      <c r="M5" s="1311"/>
      <c r="N5" s="1312"/>
      <c r="O5" s="78"/>
      <c r="P5" s="248"/>
      <c r="Q5" s="94"/>
      <c r="R5" s="94"/>
      <c r="S5" s="94"/>
      <c r="T5" s="94"/>
      <c r="U5" s="94"/>
      <c r="V5" s="94"/>
      <c r="W5" s="94"/>
      <c r="X5" s="94"/>
      <c r="Y5" s="94"/>
      <c r="Z5" s="94"/>
      <c r="AA5" s="94"/>
      <c r="AB5" s="94"/>
      <c r="AC5" s="94"/>
      <c r="AD5" s="94"/>
      <c r="AE5" s="94"/>
      <c r="AF5" s="94"/>
      <c r="AG5" s="94"/>
      <c r="AH5" s="94"/>
      <c r="AI5" s="94"/>
      <c r="AJ5" s="94"/>
      <c r="AK5" s="94"/>
      <c r="AL5" s="94"/>
    </row>
    <row r="6" spans="1:38" s="47" customFormat="1" ht="24.95" customHeight="1" x14ac:dyDescent="0.2">
      <c r="A6" s="95"/>
      <c r="B6" s="81"/>
      <c r="C6" s="97"/>
      <c r="D6" s="1313" t="s">
        <v>179</v>
      </c>
      <c r="E6" s="1314"/>
      <c r="F6" s="1314"/>
      <c r="G6" s="1314"/>
      <c r="H6" s="1314"/>
      <c r="I6" s="1314"/>
      <c r="J6" s="1314"/>
      <c r="K6" s="1314"/>
      <c r="L6" s="1314"/>
      <c r="M6" s="1314"/>
      <c r="N6" s="1315"/>
      <c r="O6" s="97"/>
      <c r="P6" s="11"/>
      <c r="Q6" s="95"/>
      <c r="R6" s="95"/>
      <c r="S6" s="95"/>
      <c r="T6" s="95"/>
      <c r="U6" s="95"/>
      <c r="V6" s="95"/>
      <c r="W6" s="95"/>
      <c r="X6" s="95"/>
      <c r="Y6" s="95"/>
      <c r="Z6" s="95"/>
      <c r="AA6" s="95"/>
      <c r="AB6" s="95"/>
      <c r="AC6" s="95"/>
      <c r="AD6" s="95"/>
      <c r="AE6" s="95"/>
      <c r="AF6" s="95"/>
      <c r="AG6" s="95"/>
      <c r="AH6" s="95"/>
      <c r="AI6" s="95"/>
      <c r="AJ6" s="95"/>
      <c r="AK6" s="95"/>
      <c r="AL6" s="95"/>
    </row>
    <row r="7" spans="1:38" s="58" customFormat="1" ht="15.75" x14ac:dyDescent="0.25">
      <c r="B7" s="55"/>
      <c r="C7" s="56"/>
      <c r="D7" s="50" t="s">
        <v>23</v>
      </c>
      <c r="E7" s="48"/>
      <c r="F7" s="49"/>
      <c r="G7" s="969" t="s">
        <v>15</v>
      </c>
      <c r="H7" s="970"/>
      <c r="I7" s="969" t="s">
        <v>16</v>
      </c>
      <c r="J7" s="970"/>
      <c r="K7" s="969" t="s">
        <v>18</v>
      </c>
      <c r="L7" s="970"/>
      <c r="M7" s="969" t="s">
        <v>17</v>
      </c>
      <c r="N7" s="1316"/>
      <c r="O7" s="56"/>
      <c r="P7" s="57"/>
    </row>
    <row r="8" spans="1:38" s="58" customFormat="1" x14ac:dyDescent="0.2">
      <c r="B8" s="55"/>
      <c r="C8" s="56"/>
      <c r="D8" s="1301" t="s">
        <v>24</v>
      </c>
      <c r="E8" s="1302"/>
      <c r="F8" s="1303"/>
      <c r="G8" s="906">
        <v>43</v>
      </c>
      <c r="H8" s="907"/>
      <c r="I8" s="906">
        <v>63</v>
      </c>
      <c r="J8" s="907"/>
      <c r="K8" s="906">
        <v>76</v>
      </c>
      <c r="L8" s="907"/>
      <c r="M8" s="906">
        <v>81</v>
      </c>
      <c r="N8" s="1300"/>
      <c r="O8" s="56"/>
      <c r="P8" s="57"/>
    </row>
    <row r="9" spans="1:38" s="58" customFormat="1" x14ac:dyDescent="0.2">
      <c r="B9" s="55"/>
      <c r="C9" s="56"/>
      <c r="D9" s="1301" t="s">
        <v>25</v>
      </c>
      <c r="E9" s="1302"/>
      <c r="F9" s="1303"/>
      <c r="G9" s="906">
        <v>48</v>
      </c>
      <c r="H9" s="907"/>
      <c r="I9" s="906">
        <v>66</v>
      </c>
      <c r="J9" s="907"/>
      <c r="K9" s="906">
        <v>78</v>
      </c>
      <c r="L9" s="907"/>
      <c r="M9" s="906">
        <v>83</v>
      </c>
      <c r="N9" s="1300"/>
      <c r="O9" s="56"/>
      <c r="P9" s="57"/>
    </row>
    <row r="10" spans="1:38" s="58" customFormat="1" ht="15.75" thickBot="1" x14ac:dyDescent="0.25">
      <c r="B10" s="55"/>
      <c r="C10" s="56"/>
      <c r="D10" s="1304" t="s">
        <v>26</v>
      </c>
      <c r="E10" s="1305"/>
      <c r="F10" s="1306"/>
      <c r="G10" s="1242" t="s">
        <v>27</v>
      </c>
      <c r="H10" s="1244"/>
      <c r="I10" s="1242" t="s">
        <v>27</v>
      </c>
      <c r="J10" s="1244"/>
      <c r="K10" s="1242" t="s">
        <v>27</v>
      </c>
      <c r="L10" s="1244"/>
      <c r="M10" s="1242" t="s">
        <v>27</v>
      </c>
      <c r="N10" s="1243"/>
      <c r="O10" s="56"/>
      <c r="P10" s="57"/>
    </row>
    <row r="11" spans="1:38" s="3" customFormat="1" ht="15.75" thickBot="1" x14ac:dyDescent="0.25">
      <c r="A11" s="97"/>
      <c r="B11" s="81"/>
      <c r="C11" s="97"/>
      <c r="D11" s="97"/>
      <c r="E11" s="97"/>
      <c r="F11" s="97"/>
      <c r="G11" s="97"/>
      <c r="H11" s="97"/>
      <c r="I11" s="97"/>
      <c r="J11" s="97"/>
      <c r="K11" s="97"/>
      <c r="L11" s="97"/>
      <c r="M11" s="97"/>
      <c r="N11" s="97"/>
      <c r="O11" s="97"/>
      <c r="P11" s="11"/>
      <c r="Q11" s="97"/>
      <c r="R11" s="97"/>
      <c r="S11" s="97"/>
      <c r="T11" s="97"/>
      <c r="U11" s="97"/>
      <c r="V11" s="97"/>
      <c r="W11" s="97"/>
      <c r="X11" s="97"/>
      <c r="Y11" s="97"/>
      <c r="Z11" s="97"/>
      <c r="AA11" s="97"/>
      <c r="AB11" s="97"/>
      <c r="AC11" s="97"/>
      <c r="AD11" s="97"/>
      <c r="AE11" s="97"/>
      <c r="AF11" s="97"/>
      <c r="AG11" s="97"/>
      <c r="AH11" s="97"/>
      <c r="AI11" s="97"/>
      <c r="AJ11" s="97"/>
      <c r="AK11" s="97"/>
      <c r="AL11" s="97"/>
    </row>
    <row r="12" spans="1:38" s="3" customFormat="1" ht="18.75" customHeight="1" thickBot="1" x14ac:dyDescent="0.25">
      <c r="A12" s="97"/>
      <c r="B12" s="81"/>
      <c r="C12" s="97"/>
      <c r="D12" s="1239" t="s">
        <v>133</v>
      </c>
      <c r="E12" s="1240"/>
      <c r="F12" s="1240"/>
      <c r="G12" s="1240"/>
      <c r="H12" s="1240"/>
      <c r="I12" s="1240"/>
      <c r="J12" s="1240"/>
      <c r="K12" s="1240"/>
      <c r="L12" s="1240"/>
      <c r="M12" s="1240"/>
      <c r="N12" s="1241"/>
      <c r="O12" s="97"/>
      <c r="P12" s="11"/>
      <c r="Q12" s="97"/>
      <c r="R12" s="97"/>
      <c r="S12" s="97"/>
      <c r="T12" s="97"/>
      <c r="U12" s="97"/>
      <c r="V12" s="97"/>
      <c r="W12" s="97"/>
      <c r="X12" s="97"/>
      <c r="Y12" s="97"/>
      <c r="Z12" s="97"/>
      <c r="AA12" s="97"/>
      <c r="AB12" s="97"/>
      <c r="AC12" s="97"/>
      <c r="AD12" s="97"/>
      <c r="AE12" s="97"/>
      <c r="AF12" s="97"/>
      <c r="AG12" s="97"/>
      <c r="AH12" s="97"/>
      <c r="AI12" s="97"/>
      <c r="AJ12" s="97"/>
      <c r="AK12" s="97"/>
      <c r="AL12" s="97"/>
    </row>
    <row r="13" spans="1:38" ht="18" x14ac:dyDescent="0.25">
      <c r="B13" s="81"/>
      <c r="C13" s="67"/>
      <c r="D13" s="1307" t="s">
        <v>232</v>
      </c>
      <c r="E13" s="1308"/>
      <c r="F13" s="1308"/>
      <c r="G13" s="1308"/>
      <c r="H13" s="1308"/>
      <c r="I13" s="1308"/>
      <c r="J13" s="1308"/>
      <c r="K13" s="1308"/>
      <c r="L13" s="1308"/>
      <c r="M13" s="1308"/>
      <c r="N13" s="1309"/>
      <c r="P13" s="11"/>
    </row>
    <row r="14" spans="1:38" ht="19.5" customHeight="1" x14ac:dyDescent="0.2">
      <c r="B14" s="81"/>
      <c r="C14" s="97"/>
      <c r="D14" s="1317" t="s">
        <v>14</v>
      </c>
      <c r="E14" s="1318"/>
      <c r="F14" s="1319"/>
      <c r="G14" s="1245" t="s">
        <v>15</v>
      </c>
      <c r="H14" s="1245"/>
      <c r="I14" s="1245" t="s">
        <v>16</v>
      </c>
      <c r="J14" s="1245"/>
      <c r="K14" s="1245" t="s">
        <v>18</v>
      </c>
      <c r="L14" s="1245"/>
      <c r="M14" s="1245" t="s">
        <v>17</v>
      </c>
      <c r="N14" s="1246"/>
      <c r="P14" s="11"/>
    </row>
    <row r="15" spans="1:38" s="63" customFormat="1" ht="19.5" customHeight="1" x14ac:dyDescent="0.2">
      <c r="A15" s="97"/>
      <c r="B15" s="81"/>
      <c r="C15" s="97"/>
      <c r="D15" s="1208" t="s">
        <v>12</v>
      </c>
      <c r="E15" s="1209"/>
      <c r="F15" s="1210"/>
      <c r="G15" s="1213">
        <v>39</v>
      </c>
      <c r="H15" s="1213"/>
      <c r="I15" s="1213">
        <v>61</v>
      </c>
      <c r="J15" s="1213"/>
      <c r="K15" s="1213">
        <v>74</v>
      </c>
      <c r="L15" s="1213"/>
      <c r="M15" s="1213">
        <v>80</v>
      </c>
      <c r="N15" s="1217"/>
      <c r="O15" s="97"/>
      <c r="P15" s="11"/>
      <c r="Q15" s="97"/>
      <c r="R15" s="97"/>
      <c r="S15" s="97"/>
      <c r="T15" s="97"/>
      <c r="U15" s="97"/>
      <c r="V15" s="97"/>
      <c r="W15" s="97"/>
      <c r="X15" s="97"/>
      <c r="Y15" s="97"/>
      <c r="Z15" s="97"/>
      <c r="AA15" s="97"/>
      <c r="AB15" s="97"/>
      <c r="AC15" s="97"/>
      <c r="AD15" s="97"/>
      <c r="AE15" s="97"/>
      <c r="AF15" s="97"/>
      <c r="AG15" s="97"/>
      <c r="AH15" s="97"/>
      <c r="AI15" s="97"/>
      <c r="AJ15" s="97"/>
      <c r="AK15" s="97"/>
      <c r="AL15" s="97"/>
    </row>
    <row r="16" spans="1:38" s="63" customFormat="1" ht="19.5" customHeight="1" x14ac:dyDescent="0.2">
      <c r="A16" s="97"/>
      <c r="B16" s="81"/>
      <c r="C16" s="97"/>
      <c r="D16" s="1208" t="s">
        <v>233</v>
      </c>
      <c r="E16" s="1209"/>
      <c r="F16" s="1210"/>
      <c r="G16" s="1213">
        <v>45</v>
      </c>
      <c r="H16" s="1213"/>
      <c r="I16" s="1213">
        <v>66</v>
      </c>
      <c r="J16" s="1213"/>
      <c r="K16" s="1213">
        <v>77</v>
      </c>
      <c r="L16" s="1213"/>
      <c r="M16" s="1213">
        <v>83</v>
      </c>
      <c r="N16" s="1217"/>
      <c r="O16" s="97"/>
      <c r="P16" s="11"/>
      <c r="Q16" s="97"/>
      <c r="R16" s="97"/>
      <c r="S16" s="97"/>
      <c r="T16" s="97"/>
      <c r="U16" s="97"/>
      <c r="V16" s="97"/>
      <c r="W16" s="97"/>
      <c r="X16" s="97"/>
      <c r="Y16" s="97"/>
      <c r="Z16" s="97"/>
      <c r="AA16" s="97"/>
      <c r="AB16" s="97"/>
      <c r="AC16" s="97"/>
      <c r="AD16" s="97"/>
      <c r="AE16" s="97"/>
      <c r="AF16" s="97"/>
      <c r="AG16" s="97"/>
      <c r="AH16" s="97"/>
      <c r="AI16" s="97"/>
      <c r="AJ16" s="97"/>
      <c r="AK16" s="97"/>
      <c r="AL16" s="97"/>
    </row>
    <row r="17" spans="1:38" s="63" customFormat="1" ht="19.5" customHeight="1" x14ac:dyDescent="0.2">
      <c r="A17" s="97"/>
      <c r="B17" s="81"/>
      <c r="C17" s="97"/>
      <c r="D17" s="1208" t="s">
        <v>235</v>
      </c>
      <c r="E17" s="1209"/>
      <c r="F17" s="1210"/>
      <c r="G17" s="1211">
        <v>36</v>
      </c>
      <c r="H17" s="1212"/>
      <c r="I17" s="1211">
        <v>60</v>
      </c>
      <c r="J17" s="1212"/>
      <c r="K17" s="1211">
        <v>73</v>
      </c>
      <c r="L17" s="1212"/>
      <c r="M17" s="1211">
        <v>79</v>
      </c>
      <c r="N17" s="1216"/>
      <c r="O17" s="97"/>
      <c r="P17" s="11"/>
      <c r="Q17" s="97"/>
      <c r="R17" s="97"/>
      <c r="S17" s="97"/>
      <c r="T17" s="97"/>
      <c r="U17" s="97"/>
      <c r="V17" s="97"/>
      <c r="W17" s="97"/>
      <c r="X17" s="97"/>
      <c r="Y17" s="97"/>
      <c r="Z17" s="97"/>
      <c r="AA17" s="97"/>
      <c r="AB17" s="97"/>
      <c r="AC17" s="97"/>
      <c r="AD17" s="97"/>
      <c r="AE17" s="97"/>
      <c r="AF17" s="97"/>
      <c r="AG17" s="97"/>
      <c r="AH17" s="97"/>
      <c r="AI17" s="97"/>
      <c r="AJ17" s="97"/>
      <c r="AK17" s="97"/>
      <c r="AL17" s="97"/>
    </row>
    <row r="18" spans="1:38" s="63" customFormat="1" ht="19.5" customHeight="1" x14ac:dyDescent="0.2">
      <c r="A18" s="97"/>
      <c r="B18" s="81"/>
      <c r="C18" s="97"/>
      <c r="D18" s="1208" t="s">
        <v>236</v>
      </c>
      <c r="E18" s="1209"/>
      <c r="F18" s="1210"/>
      <c r="G18" s="1211">
        <v>30</v>
      </c>
      <c r="H18" s="1212"/>
      <c r="I18" s="1211">
        <v>55</v>
      </c>
      <c r="J18" s="1212"/>
      <c r="K18" s="1211">
        <v>70</v>
      </c>
      <c r="L18" s="1212"/>
      <c r="M18" s="1211">
        <v>77</v>
      </c>
      <c r="N18" s="1216"/>
      <c r="O18" s="97"/>
      <c r="P18" s="11"/>
      <c r="Q18" s="97"/>
      <c r="R18" s="97"/>
      <c r="S18" s="97"/>
      <c r="T18" s="97"/>
      <c r="U18" s="97"/>
      <c r="V18" s="97"/>
      <c r="W18" s="97"/>
      <c r="X18" s="97"/>
      <c r="Y18" s="97"/>
      <c r="Z18" s="97"/>
      <c r="AA18" s="97"/>
      <c r="AB18" s="97"/>
      <c r="AC18" s="97"/>
      <c r="AD18" s="97"/>
      <c r="AE18" s="97"/>
      <c r="AF18" s="97"/>
      <c r="AG18" s="97"/>
      <c r="AH18" s="97"/>
      <c r="AI18" s="97"/>
      <c r="AJ18" s="97"/>
      <c r="AK18" s="97"/>
      <c r="AL18" s="97"/>
    </row>
    <row r="19" spans="1:38" s="63" customFormat="1" ht="18" x14ac:dyDescent="0.2">
      <c r="A19" s="97"/>
      <c r="B19" s="81"/>
      <c r="C19" s="97"/>
      <c r="D19" s="1208" t="s">
        <v>234</v>
      </c>
      <c r="E19" s="1209"/>
      <c r="F19" s="1210"/>
      <c r="G19" s="1213">
        <v>68</v>
      </c>
      <c r="H19" s="1213"/>
      <c r="I19" s="1213">
        <v>79</v>
      </c>
      <c r="J19" s="1213"/>
      <c r="K19" s="1213">
        <v>86</v>
      </c>
      <c r="L19" s="1213"/>
      <c r="M19" s="1213">
        <v>89</v>
      </c>
      <c r="N19" s="1217"/>
      <c r="O19" s="97"/>
      <c r="P19" s="11"/>
      <c r="Q19" s="97"/>
      <c r="R19" s="97"/>
      <c r="S19" s="97"/>
      <c r="T19" s="97"/>
      <c r="U19" s="97"/>
      <c r="V19" s="97"/>
      <c r="W19" s="97"/>
      <c r="X19" s="97"/>
      <c r="Y19" s="97"/>
      <c r="Z19" s="97"/>
      <c r="AA19" s="97"/>
      <c r="AB19" s="97"/>
      <c r="AC19" s="97"/>
      <c r="AD19" s="97"/>
      <c r="AE19" s="97"/>
      <c r="AF19" s="97"/>
      <c r="AG19" s="97"/>
      <c r="AH19" s="97"/>
      <c r="AI19" s="97"/>
      <c r="AJ19" s="97"/>
      <c r="AK19" s="97"/>
      <c r="AL19" s="97"/>
    </row>
    <row r="20" spans="1:38" s="63" customFormat="1" ht="18" x14ac:dyDescent="0.2">
      <c r="A20" s="97"/>
      <c r="B20" s="81"/>
      <c r="C20" s="97"/>
      <c r="D20" s="1208" t="s">
        <v>237</v>
      </c>
      <c r="E20" s="1209"/>
      <c r="F20" s="1210"/>
      <c r="G20" s="1213">
        <v>49</v>
      </c>
      <c r="H20" s="1213"/>
      <c r="I20" s="1213">
        <v>69</v>
      </c>
      <c r="J20" s="1213"/>
      <c r="K20" s="1213">
        <v>79</v>
      </c>
      <c r="L20" s="1213"/>
      <c r="M20" s="1213">
        <v>84</v>
      </c>
      <c r="N20" s="1217"/>
      <c r="O20" s="97"/>
      <c r="P20" s="11"/>
      <c r="Q20" s="97"/>
      <c r="R20" s="97"/>
      <c r="S20" s="97"/>
      <c r="T20" s="97"/>
      <c r="U20" s="97"/>
      <c r="V20" s="97"/>
      <c r="W20" s="97"/>
      <c r="X20" s="97"/>
      <c r="Y20" s="97"/>
      <c r="Z20" s="97"/>
      <c r="AA20" s="97"/>
      <c r="AB20" s="97"/>
      <c r="AC20" s="97"/>
      <c r="AD20" s="97"/>
      <c r="AE20" s="97"/>
      <c r="AF20" s="97"/>
      <c r="AG20" s="97"/>
      <c r="AH20" s="97"/>
      <c r="AI20" s="97"/>
      <c r="AJ20" s="97"/>
      <c r="AK20" s="97"/>
      <c r="AL20" s="97"/>
    </row>
    <row r="21" spans="1:38" s="63" customFormat="1" ht="18" x14ac:dyDescent="0.2">
      <c r="A21" s="97"/>
      <c r="B21" s="81"/>
      <c r="C21" s="97"/>
      <c r="D21" s="1208" t="s">
        <v>238</v>
      </c>
      <c r="E21" s="1209"/>
      <c r="F21" s="1210"/>
      <c r="G21" s="1213">
        <v>39</v>
      </c>
      <c r="H21" s="1213"/>
      <c r="I21" s="1213">
        <v>61</v>
      </c>
      <c r="J21" s="1213"/>
      <c r="K21" s="1213">
        <v>74</v>
      </c>
      <c r="L21" s="1213"/>
      <c r="M21" s="1213">
        <v>80</v>
      </c>
      <c r="N21" s="1217"/>
      <c r="O21" s="246"/>
      <c r="P21" s="11"/>
      <c r="Q21" s="97"/>
      <c r="R21" s="97"/>
      <c r="S21" s="97"/>
      <c r="T21" s="97"/>
      <c r="U21" s="97"/>
      <c r="V21" s="97"/>
      <c r="W21" s="97"/>
      <c r="X21" s="97"/>
      <c r="Y21" s="97"/>
      <c r="Z21" s="97"/>
      <c r="AA21" s="97"/>
      <c r="AB21" s="97"/>
      <c r="AC21" s="97"/>
      <c r="AD21" s="97"/>
      <c r="AE21" s="97"/>
      <c r="AF21" s="97"/>
      <c r="AG21" s="97"/>
      <c r="AH21" s="97"/>
      <c r="AI21" s="97"/>
      <c r="AJ21" s="97"/>
      <c r="AK21" s="97"/>
      <c r="AL21" s="97"/>
    </row>
    <row r="22" spans="1:38" s="63" customFormat="1" ht="18" customHeight="1" x14ac:dyDescent="0.2">
      <c r="A22" s="97"/>
      <c r="B22" s="81"/>
      <c r="C22" s="97"/>
      <c r="D22" s="1208" t="s">
        <v>434</v>
      </c>
      <c r="E22" s="1209"/>
      <c r="F22" s="1210"/>
      <c r="G22" s="1211">
        <v>30</v>
      </c>
      <c r="H22" s="1212"/>
      <c r="I22" s="1211">
        <v>55</v>
      </c>
      <c r="J22" s="1212"/>
      <c r="K22" s="1211">
        <v>70</v>
      </c>
      <c r="L22" s="1212"/>
      <c r="M22" s="1211">
        <v>77</v>
      </c>
      <c r="N22" s="1216"/>
      <c r="O22" s="246"/>
      <c r="P22" s="11"/>
      <c r="Q22" s="97"/>
      <c r="R22" s="97"/>
      <c r="S22" s="97"/>
      <c r="T22" s="97"/>
      <c r="U22" s="97"/>
      <c r="V22" s="97"/>
      <c r="W22" s="97"/>
      <c r="X22" s="97"/>
      <c r="Y22" s="97"/>
      <c r="Z22" s="97"/>
      <c r="AA22" s="97"/>
      <c r="AB22" s="97"/>
      <c r="AC22" s="97"/>
      <c r="AD22" s="97"/>
      <c r="AE22" s="97"/>
      <c r="AF22" s="97"/>
      <c r="AG22" s="97"/>
      <c r="AH22" s="97"/>
      <c r="AI22" s="97"/>
      <c r="AJ22" s="97"/>
      <c r="AK22" s="97"/>
      <c r="AL22" s="97"/>
    </row>
    <row r="23" spans="1:38" ht="18" x14ac:dyDescent="0.2">
      <c r="B23" s="81"/>
      <c r="C23" s="246"/>
      <c r="D23" s="1208" t="s">
        <v>243</v>
      </c>
      <c r="E23" s="1209"/>
      <c r="F23" s="1210"/>
      <c r="G23" s="1213">
        <v>98</v>
      </c>
      <c r="H23" s="1213"/>
      <c r="I23" s="1213">
        <v>98</v>
      </c>
      <c r="J23" s="1213"/>
      <c r="K23" s="1213">
        <v>98</v>
      </c>
      <c r="L23" s="1213"/>
      <c r="M23" s="1213">
        <v>98</v>
      </c>
      <c r="N23" s="1217"/>
      <c r="O23" s="246"/>
      <c r="P23" s="11"/>
    </row>
    <row r="24" spans="1:38" s="63" customFormat="1" x14ac:dyDescent="0.2">
      <c r="A24" s="97"/>
      <c r="B24" s="81"/>
      <c r="C24" s="246"/>
      <c r="D24" s="80"/>
      <c r="E24" s="77"/>
      <c r="F24" s="77"/>
      <c r="G24" s="246"/>
      <c r="H24" s="246"/>
      <c r="I24" s="246"/>
      <c r="J24" s="246"/>
      <c r="K24" s="246"/>
      <c r="L24" s="246"/>
      <c r="M24" s="246"/>
      <c r="N24" s="247"/>
      <c r="O24" s="97"/>
      <c r="P24" s="11"/>
      <c r="Q24" s="97"/>
      <c r="R24" s="97"/>
      <c r="S24" s="97"/>
      <c r="T24" s="97"/>
      <c r="U24" s="97"/>
      <c r="V24" s="97"/>
      <c r="W24" s="97"/>
      <c r="X24" s="97"/>
      <c r="Y24" s="97"/>
      <c r="Z24" s="97"/>
      <c r="AA24" s="97"/>
      <c r="AB24" s="97"/>
      <c r="AC24" s="97"/>
      <c r="AD24" s="97"/>
      <c r="AE24" s="97"/>
      <c r="AF24" s="97"/>
      <c r="AG24" s="97"/>
      <c r="AH24" s="97"/>
      <c r="AI24" s="97"/>
      <c r="AJ24" s="97"/>
      <c r="AK24" s="97"/>
      <c r="AL24" s="97"/>
    </row>
    <row r="25" spans="1:38" s="63" customFormat="1" ht="18" x14ac:dyDescent="0.2">
      <c r="A25" s="97"/>
      <c r="B25" s="81"/>
      <c r="C25" s="246"/>
      <c r="D25" s="81" t="s">
        <v>123</v>
      </c>
      <c r="E25" s="77" t="s">
        <v>239</v>
      </c>
      <c r="F25" s="77"/>
      <c r="G25" s="246"/>
      <c r="H25" s="246"/>
      <c r="I25" s="246"/>
      <c r="J25" s="246"/>
      <c r="K25" s="246"/>
      <c r="L25" s="246"/>
      <c r="M25" s="246"/>
      <c r="N25" s="247"/>
      <c r="O25" s="97"/>
      <c r="P25" s="11"/>
      <c r="Q25" s="97"/>
      <c r="R25" s="97"/>
      <c r="S25" s="97"/>
      <c r="T25" s="97"/>
      <c r="U25" s="97"/>
      <c r="V25" s="97"/>
      <c r="W25" s="97"/>
      <c r="X25" s="97"/>
      <c r="Y25" s="97"/>
      <c r="Z25" s="97"/>
      <c r="AA25" s="97"/>
      <c r="AB25" s="97"/>
      <c r="AC25" s="97"/>
      <c r="AD25" s="97"/>
      <c r="AE25" s="97"/>
      <c r="AF25" s="97"/>
      <c r="AG25" s="97"/>
      <c r="AH25" s="97"/>
      <c r="AI25" s="97"/>
      <c r="AJ25" s="97"/>
      <c r="AK25" s="97"/>
      <c r="AL25" s="97"/>
    </row>
    <row r="26" spans="1:38" s="63" customFormat="1" ht="18" x14ac:dyDescent="0.2">
      <c r="A26" s="97"/>
      <c r="B26" s="81"/>
      <c r="C26" s="246"/>
      <c r="D26" s="80"/>
      <c r="E26" s="77" t="s">
        <v>240</v>
      </c>
      <c r="F26" s="77"/>
      <c r="G26" s="246"/>
      <c r="H26" s="246"/>
      <c r="I26" s="246"/>
      <c r="J26" s="246"/>
      <c r="K26" s="246"/>
      <c r="L26" s="246"/>
      <c r="M26" s="246"/>
      <c r="N26" s="247"/>
      <c r="O26" s="97"/>
      <c r="P26" s="11"/>
      <c r="Q26" s="97"/>
      <c r="R26" s="97"/>
      <c r="S26" s="97"/>
      <c r="T26" s="97"/>
      <c r="U26" s="97"/>
      <c r="V26" s="97"/>
      <c r="W26" s="97"/>
      <c r="X26" s="97"/>
      <c r="Y26" s="97"/>
      <c r="Z26" s="97"/>
      <c r="AA26" s="97"/>
      <c r="AB26" s="97"/>
      <c r="AC26" s="97"/>
      <c r="AD26" s="97"/>
      <c r="AE26" s="97"/>
      <c r="AF26" s="97"/>
      <c r="AG26" s="97"/>
      <c r="AH26" s="97"/>
      <c r="AI26" s="97"/>
      <c r="AJ26" s="97"/>
      <c r="AK26" s="97"/>
      <c r="AL26" s="97"/>
    </row>
    <row r="27" spans="1:38" s="63" customFormat="1" ht="18" x14ac:dyDescent="0.2">
      <c r="A27" s="97"/>
      <c r="B27" s="81"/>
      <c r="C27" s="246"/>
      <c r="D27" s="80"/>
      <c r="E27" s="77" t="s">
        <v>333</v>
      </c>
      <c r="F27" s="77"/>
      <c r="G27" s="246"/>
      <c r="H27" s="246"/>
      <c r="I27" s="246"/>
      <c r="J27" s="246"/>
      <c r="K27" s="246"/>
      <c r="L27" s="246"/>
      <c r="M27" s="246"/>
      <c r="N27" s="247"/>
      <c r="O27" s="97"/>
      <c r="P27" s="11"/>
      <c r="Q27" s="97"/>
      <c r="R27" s="97"/>
      <c r="S27" s="97"/>
      <c r="T27" s="97"/>
      <c r="U27" s="97"/>
      <c r="V27" s="97"/>
      <c r="W27" s="97"/>
      <c r="X27" s="97"/>
      <c r="Y27" s="97"/>
      <c r="Z27" s="97"/>
      <c r="AA27" s="97"/>
      <c r="AB27" s="97"/>
      <c r="AC27" s="97"/>
      <c r="AD27" s="97"/>
      <c r="AE27" s="97"/>
      <c r="AF27" s="97"/>
      <c r="AG27" s="97"/>
      <c r="AH27" s="97"/>
      <c r="AI27" s="97"/>
      <c r="AJ27" s="97"/>
      <c r="AK27" s="97"/>
      <c r="AL27" s="97"/>
    </row>
    <row r="28" spans="1:38" ht="18" x14ac:dyDescent="0.2">
      <c r="B28" s="81"/>
      <c r="C28" s="246"/>
      <c r="D28" s="245"/>
      <c r="E28" s="77" t="s">
        <v>334</v>
      </c>
      <c r="F28" s="63"/>
      <c r="G28" s="97"/>
      <c r="H28" s="246"/>
      <c r="I28" s="246"/>
      <c r="J28" s="246"/>
      <c r="K28" s="246"/>
      <c r="L28" s="97"/>
      <c r="M28" s="68"/>
      <c r="N28" s="69"/>
      <c r="P28" s="11"/>
    </row>
    <row r="29" spans="1:38" s="63" customFormat="1" ht="18" x14ac:dyDescent="0.2">
      <c r="A29" s="97"/>
      <c r="B29" s="81"/>
      <c r="C29" s="246"/>
      <c r="D29" s="245"/>
      <c r="E29" s="77" t="s">
        <v>335</v>
      </c>
      <c r="G29" s="97"/>
      <c r="H29" s="246"/>
      <c r="I29" s="246"/>
      <c r="J29" s="246"/>
      <c r="K29" s="246"/>
      <c r="L29" s="97"/>
      <c r="M29" s="68"/>
      <c r="N29" s="69"/>
      <c r="O29" s="97"/>
      <c r="P29" s="11"/>
      <c r="Q29" s="97"/>
      <c r="R29" s="97"/>
      <c r="S29" s="97"/>
      <c r="T29" s="97"/>
      <c r="U29" s="97"/>
      <c r="V29" s="97"/>
      <c r="W29" s="97"/>
      <c r="X29" s="97"/>
      <c r="Y29" s="97"/>
      <c r="Z29" s="97"/>
      <c r="AA29" s="97"/>
      <c r="AB29" s="97"/>
      <c r="AC29" s="97"/>
      <c r="AD29" s="97"/>
      <c r="AE29" s="97"/>
      <c r="AF29" s="97"/>
      <c r="AG29" s="97"/>
      <c r="AH29" s="97"/>
      <c r="AI29" s="97"/>
      <c r="AJ29" s="97"/>
      <c r="AK29" s="97"/>
      <c r="AL29" s="97"/>
    </row>
    <row r="30" spans="1:38" s="63" customFormat="1" ht="18" x14ac:dyDescent="0.2">
      <c r="A30" s="97"/>
      <c r="B30" s="81"/>
      <c r="C30" s="246"/>
      <c r="D30" s="245"/>
      <c r="E30" s="77" t="s">
        <v>241</v>
      </c>
      <c r="G30" s="97"/>
      <c r="H30" s="246"/>
      <c r="I30" s="246"/>
      <c r="J30" s="246"/>
      <c r="K30" s="246"/>
      <c r="L30" s="97"/>
      <c r="M30" s="68"/>
      <c r="N30" s="69"/>
      <c r="O30" s="97"/>
      <c r="P30" s="11"/>
      <c r="Q30" s="97"/>
      <c r="R30" s="97"/>
      <c r="S30" s="97"/>
      <c r="T30" s="97"/>
      <c r="U30" s="97"/>
      <c r="V30" s="97"/>
      <c r="W30" s="97"/>
      <c r="X30" s="97"/>
      <c r="Y30" s="97"/>
      <c r="Z30" s="97"/>
      <c r="AA30" s="97"/>
      <c r="AB30" s="97"/>
      <c r="AC30" s="97"/>
      <c r="AD30" s="97"/>
      <c r="AE30" s="97"/>
      <c r="AF30" s="97"/>
      <c r="AG30" s="97"/>
      <c r="AH30" s="97"/>
      <c r="AI30" s="97"/>
      <c r="AJ30" s="97"/>
      <c r="AK30" s="97"/>
      <c r="AL30" s="97"/>
    </row>
    <row r="31" spans="1:38" s="63" customFormat="1" ht="18" x14ac:dyDescent="0.2">
      <c r="A31" s="97"/>
      <c r="B31" s="81"/>
      <c r="C31" s="246"/>
      <c r="D31" s="245"/>
      <c r="E31" s="77" t="s">
        <v>242</v>
      </c>
      <c r="G31" s="97"/>
      <c r="H31" s="246"/>
      <c r="I31" s="246"/>
      <c r="J31" s="246"/>
      <c r="K31" s="246"/>
      <c r="L31" s="97"/>
      <c r="M31" s="68"/>
      <c r="N31" s="69"/>
      <c r="O31" s="97"/>
      <c r="P31" s="11"/>
      <c r="Q31" s="97"/>
      <c r="R31" s="97"/>
      <c r="S31" s="97"/>
      <c r="T31" s="97"/>
      <c r="U31" s="97"/>
      <c r="V31" s="97"/>
      <c r="W31" s="97"/>
      <c r="X31" s="97"/>
      <c r="Y31" s="97"/>
      <c r="Z31" s="97"/>
      <c r="AA31" s="97"/>
      <c r="AB31" s="97"/>
      <c r="AC31" s="97"/>
      <c r="AD31" s="97"/>
      <c r="AE31" s="97"/>
      <c r="AF31" s="97"/>
      <c r="AG31" s="97"/>
      <c r="AH31" s="97"/>
      <c r="AI31" s="97"/>
      <c r="AJ31" s="97"/>
      <c r="AK31" s="97"/>
      <c r="AL31" s="97"/>
    </row>
    <row r="32" spans="1:38" s="63" customFormat="1" ht="18" x14ac:dyDescent="0.2">
      <c r="A32" s="97"/>
      <c r="B32" s="81"/>
      <c r="C32" s="246"/>
      <c r="D32" s="245"/>
      <c r="E32" s="77" t="s">
        <v>244</v>
      </c>
      <c r="G32" s="97"/>
      <c r="H32" s="246"/>
      <c r="I32" s="246"/>
      <c r="J32" s="246"/>
      <c r="K32" s="246"/>
      <c r="L32" s="97"/>
      <c r="M32" s="68"/>
      <c r="N32" s="69"/>
      <c r="O32" s="97"/>
      <c r="P32" s="11"/>
      <c r="Q32" s="97"/>
      <c r="R32" s="97"/>
      <c r="S32" s="97"/>
      <c r="T32" s="97"/>
      <c r="U32" s="97"/>
      <c r="V32" s="97"/>
      <c r="W32" s="97"/>
      <c r="X32" s="97"/>
      <c r="Y32" s="97"/>
      <c r="Z32" s="97"/>
      <c r="AA32" s="97"/>
      <c r="AB32" s="97"/>
      <c r="AC32" s="97"/>
      <c r="AD32" s="97"/>
      <c r="AE32" s="97"/>
      <c r="AF32" s="97"/>
      <c r="AG32" s="97"/>
      <c r="AH32" s="97"/>
      <c r="AI32" s="97"/>
      <c r="AJ32" s="97"/>
      <c r="AK32" s="97"/>
      <c r="AL32" s="97"/>
    </row>
    <row r="33" spans="1:38" ht="18.75" thickBot="1" x14ac:dyDescent="0.25">
      <c r="B33" s="33"/>
      <c r="C33" s="97"/>
      <c r="D33" s="70"/>
      <c r="E33" s="46"/>
      <c r="F33" s="71"/>
      <c r="G33" s="83"/>
      <c r="H33" s="46"/>
      <c r="I33" s="46"/>
      <c r="J33" s="46"/>
      <c r="K33" s="46"/>
      <c r="L33" s="83"/>
      <c r="M33" s="72"/>
      <c r="N33" s="73"/>
      <c r="P33" s="11"/>
    </row>
    <row r="34" spans="1:38" x14ac:dyDescent="0.2">
      <c r="B34" s="81"/>
      <c r="C34" s="97"/>
      <c r="D34" s="246"/>
      <c r="E34" s="246"/>
      <c r="F34" s="97"/>
      <c r="G34" s="97"/>
      <c r="H34" s="97"/>
      <c r="I34" s="97"/>
      <c r="J34" s="97"/>
      <c r="K34" s="97"/>
      <c r="L34" s="97"/>
      <c r="M34" s="261"/>
      <c r="N34" s="261"/>
      <c r="P34" s="11"/>
    </row>
    <row r="35" spans="1:38" ht="19.5" thickBot="1" x14ac:dyDescent="0.3">
      <c r="B35" s="244"/>
      <c r="C35" s="97"/>
      <c r="D35" s="97"/>
      <c r="E35" s="97"/>
      <c r="F35" s="97"/>
      <c r="G35" s="97"/>
      <c r="H35" s="97"/>
      <c r="I35" s="97"/>
      <c r="J35" s="66"/>
      <c r="K35" s="39"/>
      <c r="L35" s="39"/>
      <c r="M35" s="39"/>
      <c r="N35" s="39"/>
      <c r="P35" s="11"/>
    </row>
    <row r="36" spans="1:38" s="63" customFormat="1" ht="18.75" thickBot="1" x14ac:dyDescent="0.3">
      <c r="A36" s="97"/>
      <c r="B36" s="81"/>
      <c r="C36" s="67"/>
      <c r="D36" s="67"/>
      <c r="E36" s="67"/>
      <c r="F36" s="1266" t="s">
        <v>39</v>
      </c>
      <c r="G36" s="1267"/>
      <c r="H36" s="1267"/>
      <c r="I36" s="1267"/>
      <c r="J36" s="1267"/>
      <c r="K36" s="1267"/>
      <c r="L36" s="1268"/>
      <c r="M36" s="97"/>
      <c r="N36" s="97"/>
      <c r="O36" s="97"/>
      <c r="P36" s="11"/>
      <c r="Q36" s="97"/>
      <c r="R36" s="97"/>
      <c r="S36" s="97"/>
      <c r="T36" s="97"/>
      <c r="U36" s="97"/>
      <c r="V36" s="97"/>
      <c r="W36" s="97"/>
      <c r="X36" s="97"/>
      <c r="Y36" s="97"/>
      <c r="Z36" s="97"/>
      <c r="AA36" s="97"/>
      <c r="AB36" s="97"/>
      <c r="AC36" s="97"/>
      <c r="AD36" s="97"/>
      <c r="AE36" s="97"/>
      <c r="AF36" s="97"/>
      <c r="AG36" s="97"/>
      <c r="AH36" s="97"/>
      <c r="AI36" s="97"/>
      <c r="AJ36" s="97"/>
      <c r="AK36" s="97"/>
      <c r="AL36" s="97"/>
    </row>
    <row r="37" spans="1:38" s="63" customFormat="1" ht="18" x14ac:dyDescent="0.2">
      <c r="A37" s="97"/>
      <c r="B37" s="81"/>
      <c r="C37" s="97"/>
      <c r="D37" s="97"/>
      <c r="E37" s="97"/>
      <c r="F37" s="64"/>
      <c r="G37" s="65"/>
      <c r="H37" s="97"/>
      <c r="I37" s="97"/>
      <c r="J37" s="97"/>
      <c r="K37" s="97"/>
      <c r="L37" s="11"/>
      <c r="M37" s="97"/>
      <c r="N37" s="97"/>
      <c r="O37" s="97"/>
      <c r="P37" s="11"/>
      <c r="Q37" s="97"/>
      <c r="R37" s="97"/>
      <c r="S37" s="97"/>
      <c r="T37" s="97"/>
      <c r="U37" s="97"/>
      <c r="V37" s="97"/>
      <c r="W37" s="97"/>
      <c r="X37" s="97"/>
      <c r="Y37" s="97"/>
      <c r="Z37" s="97"/>
      <c r="AA37" s="97"/>
      <c r="AB37" s="97"/>
      <c r="AC37" s="97"/>
      <c r="AD37" s="97"/>
      <c r="AE37" s="97"/>
      <c r="AF37" s="97"/>
      <c r="AG37" s="97"/>
      <c r="AH37" s="97"/>
      <c r="AI37" s="97"/>
      <c r="AJ37" s="97"/>
      <c r="AK37" s="97"/>
      <c r="AL37" s="97"/>
    </row>
    <row r="38" spans="1:38" s="63" customFormat="1" ht="18.75" x14ac:dyDescent="0.2">
      <c r="A38" s="97"/>
      <c r="B38" s="81"/>
      <c r="C38" s="246"/>
      <c r="D38" s="246"/>
      <c r="E38" s="246"/>
      <c r="F38" s="1269" t="s">
        <v>127</v>
      </c>
      <c r="G38" s="1270"/>
      <c r="H38" s="1270"/>
      <c r="I38" s="1270"/>
      <c r="J38" s="1270"/>
      <c r="K38" s="1270"/>
      <c r="L38" s="1271"/>
      <c r="M38" s="97"/>
      <c r="N38" s="97"/>
      <c r="O38" s="97"/>
      <c r="P38" s="11"/>
      <c r="Q38" s="97"/>
      <c r="R38" s="97"/>
      <c r="S38" s="97"/>
      <c r="T38" s="97"/>
      <c r="U38" s="97"/>
      <c r="V38" s="97"/>
      <c r="W38" s="97"/>
      <c r="X38" s="97"/>
      <c r="Y38" s="97"/>
      <c r="Z38" s="97"/>
      <c r="AA38" s="97"/>
      <c r="AB38" s="97"/>
      <c r="AC38" s="97"/>
      <c r="AD38" s="97"/>
      <c r="AE38" s="97"/>
      <c r="AF38" s="97"/>
      <c r="AG38" s="97"/>
      <c r="AH38" s="97"/>
      <c r="AI38" s="97"/>
      <c r="AJ38" s="97"/>
      <c r="AK38" s="97"/>
      <c r="AL38" s="97"/>
    </row>
    <row r="39" spans="1:38" s="63" customFormat="1" x14ac:dyDescent="0.2">
      <c r="A39" s="97"/>
      <c r="B39" s="81"/>
      <c r="C39" s="246"/>
      <c r="D39" s="246"/>
      <c r="E39" s="246"/>
      <c r="F39" s="1272" t="s">
        <v>33</v>
      </c>
      <c r="G39" s="1273"/>
      <c r="H39" s="1273"/>
      <c r="I39" s="1273"/>
      <c r="J39" s="1273"/>
      <c r="K39" s="1273"/>
      <c r="L39" s="1274"/>
      <c r="M39" s="97"/>
      <c r="N39" s="97"/>
      <c r="O39" s="97"/>
      <c r="P39" s="11"/>
      <c r="Q39" s="97"/>
      <c r="R39" s="97"/>
      <c r="S39" s="97"/>
      <c r="T39" s="97"/>
      <c r="U39" s="97"/>
      <c r="V39" s="97"/>
      <c r="W39" s="97"/>
      <c r="X39" s="97"/>
      <c r="Y39" s="97"/>
      <c r="Z39" s="97"/>
      <c r="AA39" s="97"/>
      <c r="AB39" s="97"/>
      <c r="AC39" s="97"/>
      <c r="AD39" s="97"/>
      <c r="AE39" s="97"/>
      <c r="AF39" s="97"/>
      <c r="AG39" s="97"/>
      <c r="AH39" s="97"/>
      <c r="AI39" s="97"/>
      <c r="AJ39" s="97"/>
      <c r="AK39" s="97"/>
      <c r="AL39" s="97"/>
    </row>
    <row r="40" spans="1:38" s="63" customFormat="1" x14ac:dyDescent="0.2">
      <c r="A40" s="97"/>
      <c r="B40" s="81"/>
      <c r="C40" s="246"/>
      <c r="D40" s="246"/>
      <c r="E40" s="246"/>
      <c r="F40" s="1283" t="s">
        <v>40</v>
      </c>
      <c r="G40" s="1284"/>
      <c r="H40" s="1284"/>
      <c r="I40" s="1284"/>
      <c r="J40" s="1284"/>
      <c r="K40" s="1284"/>
      <c r="L40" s="1285"/>
      <c r="M40" s="97"/>
      <c r="N40" s="97"/>
      <c r="O40" s="97"/>
      <c r="P40" s="11"/>
      <c r="Q40" s="97"/>
      <c r="R40" s="97"/>
      <c r="S40" s="97"/>
      <c r="T40" s="97"/>
      <c r="U40" s="97"/>
      <c r="V40" s="97"/>
      <c r="W40" s="97"/>
      <c r="X40" s="97"/>
      <c r="Y40" s="97"/>
      <c r="Z40" s="97"/>
      <c r="AA40" s="97"/>
      <c r="AB40" s="97"/>
      <c r="AC40" s="97"/>
      <c r="AD40" s="97"/>
      <c r="AE40" s="97"/>
      <c r="AF40" s="97"/>
      <c r="AG40" s="97"/>
      <c r="AH40" s="97"/>
      <c r="AI40" s="97"/>
      <c r="AJ40" s="97"/>
      <c r="AK40" s="97"/>
      <c r="AL40" s="97"/>
    </row>
    <row r="41" spans="1:38" s="63" customFormat="1" x14ac:dyDescent="0.2">
      <c r="A41" s="97"/>
      <c r="B41" s="81"/>
      <c r="C41" s="246"/>
      <c r="D41" s="246"/>
      <c r="E41" s="246"/>
      <c r="F41" s="1286" t="s">
        <v>45</v>
      </c>
      <c r="G41" s="1287"/>
      <c r="H41" s="1287"/>
      <c r="I41" s="1287"/>
      <c r="J41" s="1287"/>
      <c r="K41" s="1287"/>
      <c r="L41" s="1288"/>
      <c r="M41" s="97"/>
      <c r="N41" s="97"/>
      <c r="O41" s="97"/>
      <c r="P41" s="11"/>
      <c r="Q41" s="97"/>
      <c r="R41" s="97"/>
      <c r="S41" s="97"/>
      <c r="T41" s="97"/>
      <c r="U41" s="97"/>
      <c r="V41" s="97"/>
      <c r="W41" s="97"/>
      <c r="X41" s="97"/>
      <c r="Y41" s="97"/>
      <c r="Z41" s="97"/>
      <c r="AA41" s="97"/>
      <c r="AB41" s="97"/>
      <c r="AC41" s="97"/>
      <c r="AD41" s="97"/>
      <c r="AE41" s="97"/>
      <c r="AF41" s="97"/>
      <c r="AG41" s="97"/>
      <c r="AH41" s="97"/>
      <c r="AI41" s="97"/>
      <c r="AJ41" s="97"/>
      <c r="AK41" s="97"/>
      <c r="AL41" s="97"/>
    </row>
    <row r="42" spans="1:38" s="63" customFormat="1" x14ac:dyDescent="0.2">
      <c r="A42" s="97"/>
      <c r="B42" s="81"/>
      <c r="C42" s="246"/>
      <c r="D42" s="246"/>
      <c r="E42" s="246"/>
      <c r="F42" s="1286" t="s">
        <v>250</v>
      </c>
      <c r="G42" s="1287"/>
      <c r="H42" s="1287"/>
      <c r="I42" s="1287"/>
      <c r="J42" s="1287"/>
      <c r="K42" s="1287"/>
      <c r="L42" s="1288"/>
      <c r="M42" s="97"/>
      <c r="N42" s="97"/>
      <c r="O42" s="97"/>
      <c r="P42" s="11"/>
      <c r="Q42" s="97"/>
      <c r="R42" s="97"/>
      <c r="S42" s="97"/>
      <c r="T42" s="97"/>
      <c r="U42" s="97"/>
      <c r="V42" s="97"/>
      <c r="W42" s="97"/>
      <c r="X42" s="97"/>
      <c r="Y42" s="97"/>
      <c r="Z42" s="97"/>
      <c r="AA42" s="97"/>
      <c r="AB42" s="97"/>
      <c r="AC42" s="97"/>
      <c r="AD42" s="97"/>
      <c r="AE42" s="97"/>
      <c r="AF42" s="97"/>
      <c r="AG42" s="97"/>
      <c r="AH42" s="97"/>
      <c r="AI42" s="97"/>
      <c r="AJ42" s="97"/>
      <c r="AK42" s="97"/>
      <c r="AL42" s="97"/>
    </row>
    <row r="43" spans="1:38" s="63" customFormat="1" ht="18" x14ac:dyDescent="0.2">
      <c r="A43" s="97"/>
      <c r="B43" s="33"/>
      <c r="C43" s="97"/>
      <c r="D43" s="246"/>
      <c r="E43" s="246"/>
      <c r="F43" s="38" t="s">
        <v>123</v>
      </c>
      <c r="G43" s="39"/>
      <c r="H43" s="261"/>
      <c r="I43" s="261"/>
      <c r="J43" s="261"/>
      <c r="K43" s="261"/>
      <c r="L43" s="262"/>
      <c r="M43" s="97"/>
      <c r="N43" s="97"/>
      <c r="O43" s="97"/>
      <c r="P43" s="11"/>
      <c r="Q43" s="97"/>
      <c r="R43" s="97"/>
      <c r="S43" s="97"/>
      <c r="T43" s="97"/>
      <c r="U43" s="97"/>
      <c r="V43" s="97"/>
      <c r="W43" s="97"/>
      <c r="X43" s="97"/>
      <c r="Y43" s="97"/>
      <c r="Z43" s="97"/>
      <c r="AA43" s="97"/>
      <c r="AB43" s="97"/>
      <c r="AC43" s="97"/>
      <c r="AD43" s="97"/>
      <c r="AE43" s="97"/>
      <c r="AF43" s="97"/>
      <c r="AG43" s="97"/>
      <c r="AH43" s="97"/>
      <c r="AI43" s="97"/>
      <c r="AJ43" s="97"/>
      <c r="AK43" s="97"/>
      <c r="AL43" s="97"/>
    </row>
    <row r="44" spans="1:38" s="63" customFormat="1" ht="18" x14ac:dyDescent="0.2">
      <c r="A44" s="97"/>
      <c r="B44" s="81"/>
      <c r="C44" s="97"/>
      <c r="D44" s="246"/>
      <c r="E44" s="246"/>
      <c r="F44" s="33"/>
      <c r="G44" s="39" t="s">
        <v>124</v>
      </c>
      <c r="H44" s="261"/>
      <c r="I44" s="261"/>
      <c r="J44" s="261"/>
      <c r="K44" s="261"/>
      <c r="L44" s="262"/>
      <c r="M44" s="97"/>
      <c r="N44" s="97"/>
      <c r="O44" s="97"/>
      <c r="P44" s="11"/>
      <c r="Q44" s="97"/>
      <c r="R44" s="97"/>
      <c r="S44" s="97"/>
      <c r="T44" s="97"/>
      <c r="U44" s="97"/>
      <c r="V44" s="97"/>
      <c r="W44" s="97"/>
      <c r="X44" s="97"/>
      <c r="Y44" s="97"/>
      <c r="Z44" s="97"/>
      <c r="AA44" s="97"/>
      <c r="AB44" s="97"/>
      <c r="AC44" s="97"/>
      <c r="AD44" s="97"/>
      <c r="AE44" s="97"/>
      <c r="AF44" s="97"/>
      <c r="AG44" s="97"/>
      <c r="AH44" s="97"/>
      <c r="AI44" s="97"/>
      <c r="AJ44" s="97"/>
      <c r="AK44" s="97"/>
      <c r="AL44" s="97"/>
    </row>
    <row r="45" spans="1:38" s="63" customFormat="1" ht="18.75" thickBot="1" x14ac:dyDescent="0.25">
      <c r="A45" s="97"/>
      <c r="B45" s="81"/>
      <c r="C45" s="97"/>
      <c r="D45" s="97"/>
      <c r="E45" s="97"/>
      <c r="F45" s="34"/>
      <c r="G45" s="40"/>
      <c r="H45" s="40"/>
      <c r="I45" s="40"/>
      <c r="J45" s="40"/>
      <c r="K45" s="40"/>
      <c r="L45" s="41"/>
      <c r="M45" s="97"/>
      <c r="N45" s="97"/>
      <c r="O45" s="97"/>
      <c r="P45" s="11"/>
      <c r="Q45" s="97"/>
      <c r="R45" s="97"/>
      <c r="S45" s="97"/>
      <c r="T45" s="97"/>
      <c r="U45" s="97"/>
      <c r="V45" s="97"/>
      <c r="W45" s="97"/>
      <c r="X45" s="97"/>
      <c r="Y45" s="97"/>
      <c r="Z45" s="97"/>
      <c r="AA45" s="97"/>
      <c r="AB45" s="97"/>
      <c r="AC45" s="97"/>
      <c r="AD45" s="97"/>
      <c r="AE45" s="97"/>
      <c r="AF45" s="97"/>
      <c r="AG45" s="97"/>
      <c r="AH45" s="97"/>
      <c r="AI45" s="97"/>
      <c r="AJ45" s="97"/>
      <c r="AK45" s="97"/>
      <c r="AL45" s="97"/>
    </row>
    <row r="46" spans="1:38" s="63" customFormat="1" ht="18.75" thickBot="1" x14ac:dyDescent="0.25">
      <c r="A46" s="97"/>
      <c r="B46" s="81"/>
      <c r="C46" s="97"/>
      <c r="D46" s="97"/>
      <c r="E46" s="97"/>
      <c r="F46" s="66"/>
      <c r="G46" s="39"/>
      <c r="H46" s="39"/>
      <c r="I46" s="39"/>
      <c r="J46" s="39"/>
      <c r="K46" s="39"/>
      <c r="L46" s="39"/>
      <c r="M46" s="97"/>
      <c r="N46" s="97"/>
      <c r="O46" s="97"/>
      <c r="P46" s="11"/>
      <c r="Q46" s="97"/>
      <c r="R46" s="97"/>
      <c r="S46" s="97"/>
      <c r="T46" s="97"/>
      <c r="U46" s="97"/>
      <c r="V46" s="97"/>
      <c r="W46" s="97"/>
      <c r="X46" s="97"/>
      <c r="Y46" s="97"/>
      <c r="Z46" s="97"/>
      <c r="AA46" s="97"/>
      <c r="AB46" s="97"/>
      <c r="AC46" s="97"/>
      <c r="AD46" s="97"/>
      <c r="AE46" s="97"/>
      <c r="AF46" s="97"/>
      <c r="AG46" s="97"/>
      <c r="AH46" s="97"/>
      <c r="AI46" s="97"/>
      <c r="AJ46" s="97"/>
      <c r="AK46" s="97"/>
      <c r="AL46" s="97"/>
    </row>
    <row r="47" spans="1:38" s="63" customFormat="1" ht="18.75" thickBot="1" x14ac:dyDescent="0.3">
      <c r="A47" s="97"/>
      <c r="B47" s="81"/>
      <c r="C47" s="67"/>
      <c r="D47" s="67"/>
      <c r="E47" s="67"/>
      <c r="F47" s="1280" t="s">
        <v>388</v>
      </c>
      <c r="G47" s="1281"/>
      <c r="H47" s="1281"/>
      <c r="I47" s="1281"/>
      <c r="J47" s="1281"/>
      <c r="K47" s="1281"/>
      <c r="L47" s="1282"/>
      <c r="M47" s="97"/>
      <c r="N47" s="97"/>
      <c r="O47" s="97"/>
      <c r="P47" s="11"/>
      <c r="Q47" s="97"/>
      <c r="R47" s="97"/>
      <c r="S47" s="97"/>
      <c r="T47" s="97"/>
      <c r="U47" s="97"/>
      <c r="V47" s="97"/>
      <c r="W47" s="97"/>
      <c r="X47" s="97"/>
      <c r="Y47" s="97"/>
      <c r="Z47" s="97"/>
      <c r="AA47" s="97"/>
      <c r="AB47" s="97"/>
      <c r="AC47" s="97"/>
      <c r="AD47" s="97"/>
      <c r="AE47" s="97"/>
      <c r="AF47" s="97"/>
      <c r="AG47" s="97"/>
      <c r="AH47" s="97"/>
      <c r="AI47" s="97"/>
      <c r="AJ47" s="97"/>
      <c r="AK47" s="97"/>
      <c r="AL47" s="97"/>
    </row>
    <row r="48" spans="1:38" s="63" customFormat="1" ht="18" x14ac:dyDescent="0.25">
      <c r="A48" s="97"/>
      <c r="B48" s="81"/>
      <c r="C48" s="67"/>
      <c r="D48" s="67"/>
      <c r="E48" s="67"/>
      <c r="F48" s="503"/>
      <c r="G48" s="500"/>
      <c r="H48" s="502"/>
      <c r="I48" s="502"/>
      <c r="J48" s="502"/>
      <c r="K48" s="502"/>
      <c r="L48" s="504"/>
      <c r="M48" s="97"/>
      <c r="N48" s="97"/>
      <c r="O48" s="97"/>
      <c r="P48" s="11"/>
      <c r="Q48" s="97"/>
      <c r="R48" s="97"/>
      <c r="S48" s="97"/>
      <c r="T48" s="97"/>
      <c r="U48" s="97"/>
      <c r="V48" s="97"/>
      <c r="W48" s="97"/>
      <c r="X48" s="97"/>
      <c r="Y48" s="97"/>
      <c r="Z48" s="97"/>
      <c r="AA48" s="97"/>
      <c r="AB48" s="97"/>
      <c r="AC48" s="97"/>
      <c r="AD48" s="97"/>
      <c r="AE48" s="97"/>
      <c r="AF48" s="97"/>
      <c r="AG48" s="97"/>
      <c r="AH48" s="97"/>
      <c r="AI48" s="97"/>
      <c r="AJ48" s="97"/>
      <c r="AK48" s="97"/>
      <c r="AL48" s="97"/>
    </row>
    <row r="49" spans="1:38" s="63" customFormat="1" ht="19.5" x14ac:dyDescent="0.35">
      <c r="A49" s="97"/>
      <c r="B49" s="81"/>
      <c r="C49" s="97"/>
      <c r="D49" s="97"/>
      <c r="E49" s="97"/>
      <c r="F49" s="496"/>
      <c r="G49" s="498" t="s">
        <v>527</v>
      </c>
      <c r="H49" s="499"/>
      <c r="I49" s="499"/>
      <c r="J49" s="499"/>
      <c r="K49" s="499"/>
      <c r="L49" s="489"/>
      <c r="M49" s="97"/>
      <c r="N49" s="97"/>
      <c r="O49" s="97"/>
      <c r="P49" s="11"/>
      <c r="Q49" s="97"/>
      <c r="R49" s="97"/>
      <c r="S49" s="97"/>
      <c r="T49" s="97"/>
      <c r="U49" s="97"/>
      <c r="V49" s="97"/>
      <c r="W49" s="97"/>
      <c r="X49" s="97"/>
      <c r="Y49" s="97"/>
      <c r="Z49" s="97"/>
      <c r="AA49" s="97"/>
      <c r="AB49" s="97"/>
      <c r="AC49" s="97"/>
      <c r="AD49" s="97"/>
      <c r="AE49" s="97"/>
      <c r="AF49" s="97"/>
      <c r="AG49" s="97"/>
      <c r="AH49" s="97"/>
      <c r="AI49" s="97"/>
      <c r="AJ49" s="97"/>
      <c r="AK49" s="97"/>
      <c r="AL49" s="97"/>
    </row>
    <row r="50" spans="1:38" s="63" customFormat="1" x14ac:dyDescent="0.2">
      <c r="A50" s="97"/>
      <c r="B50" s="81"/>
      <c r="C50" s="97"/>
      <c r="D50" s="97"/>
      <c r="E50" s="97"/>
      <c r="F50" s="496"/>
      <c r="G50" s="498"/>
      <c r="H50" s="499"/>
      <c r="I50" s="499"/>
      <c r="J50" s="499"/>
      <c r="K50" s="499"/>
      <c r="L50" s="489"/>
      <c r="M50" s="97"/>
      <c r="N50" s="97"/>
      <c r="O50" s="97"/>
      <c r="P50" s="11"/>
      <c r="Q50" s="97"/>
      <c r="R50" s="97"/>
      <c r="S50" s="97"/>
      <c r="T50" s="97"/>
      <c r="U50" s="97"/>
      <c r="V50" s="97"/>
      <c r="W50" s="97"/>
      <c r="X50" s="97"/>
      <c r="Y50" s="97"/>
      <c r="Z50" s="97"/>
      <c r="AA50" s="97"/>
      <c r="AB50" s="97"/>
      <c r="AC50" s="97"/>
      <c r="AD50" s="97"/>
      <c r="AE50" s="97"/>
      <c r="AF50" s="97"/>
      <c r="AG50" s="97"/>
      <c r="AH50" s="97"/>
      <c r="AI50" s="97"/>
      <c r="AJ50" s="97"/>
      <c r="AK50" s="97"/>
      <c r="AL50" s="97"/>
    </row>
    <row r="51" spans="1:38" s="63" customFormat="1" ht="19.5" x14ac:dyDescent="0.35">
      <c r="A51" s="97"/>
      <c r="B51" s="81"/>
      <c r="C51" s="246"/>
      <c r="D51" s="246"/>
      <c r="E51" s="246"/>
      <c r="F51" s="496"/>
      <c r="G51" s="498" t="s">
        <v>528</v>
      </c>
      <c r="H51" s="499"/>
      <c r="I51" s="499"/>
      <c r="J51" s="499"/>
      <c r="K51" s="499"/>
      <c r="L51" s="489"/>
      <c r="M51" s="97"/>
      <c r="N51" s="97"/>
      <c r="O51" s="97"/>
      <c r="P51" s="11"/>
      <c r="Q51" s="97"/>
      <c r="R51" s="97"/>
      <c r="S51" s="97"/>
      <c r="T51" s="97"/>
      <c r="U51" s="97"/>
      <c r="V51" s="97"/>
      <c r="W51" s="97"/>
      <c r="X51" s="97"/>
      <c r="Y51" s="97"/>
      <c r="Z51" s="97"/>
      <c r="AA51" s="97"/>
      <c r="AB51" s="97"/>
      <c r="AC51" s="97"/>
      <c r="AD51" s="97"/>
      <c r="AE51" s="97"/>
      <c r="AF51" s="97"/>
      <c r="AG51" s="97"/>
      <c r="AH51" s="97"/>
      <c r="AI51" s="97"/>
      <c r="AJ51" s="97"/>
      <c r="AK51" s="97"/>
      <c r="AL51" s="97"/>
    </row>
    <row r="52" spans="1:38" s="63" customFormat="1" ht="19.5" x14ac:dyDescent="0.35">
      <c r="A52" s="97"/>
      <c r="B52" s="81"/>
      <c r="C52" s="97"/>
      <c r="D52" s="97"/>
      <c r="E52" s="97"/>
      <c r="F52" s="496"/>
      <c r="G52" s="498" t="s">
        <v>529</v>
      </c>
      <c r="H52" s="488"/>
      <c r="I52" s="488"/>
      <c r="J52" s="488"/>
      <c r="K52" s="488"/>
      <c r="L52" s="489"/>
      <c r="M52" s="97"/>
      <c r="N52" s="97"/>
      <c r="O52" s="97"/>
      <c r="P52" s="11"/>
      <c r="Q52" s="97"/>
      <c r="R52" s="97"/>
      <c r="S52" s="97"/>
      <c r="T52" s="97"/>
      <c r="U52" s="97"/>
      <c r="V52" s="97"/>
      <c r="W52" s="97"/>
      <c r="X52" s="97"/>
      <c r="Y52" s="97"/>
      <c r="Z52" s="97"/>
      <c r="AA52" s="97"/>
      <c r="AB52" s="97"/>
      <c r="AC52" s="97"/>
      <c r="AD52" s="97"/>
      <c r="AE52" s="97"/>
      <c r="AF52" s="97"/>
      <c r="AG52" s="97"/>
      <c r="AH52" s="97"/>
      <c r="AI52" s="97"/>
      <c r="AJ52" s="97"/>
      <c r="AK52" s="97"/>
      <c r="AL52" s="97"/>
    </row>
    <row r="53" spans="1:38" s="63" customFormat="1" ht="20.25" x14ac:dyDescent="0.35">
      <c r="A53" s="97"/>
      <c r="B53" s="81"/>
      <c r="C53" s="97"/>
      <c r="D53" s="97"/>
      <c r="E53" s="97"/>
      <c r="F53" s="490"/>
      <c r="G53" s="498" t="s">
        <v>530</v>
      </c>
      <c r="H53" s="492"/>
      <c r="I53" s="492"/>
      <c r="J53" s="492"/>
      <c r="K53" s="492"/>
      <c r="L53" s="495"/>
      <c r="M53" s="97"/>
      <c r="N53" s="97"/>
      <c r="O53" s="97"/>
      <c r="P53" s="11"/>
      <c r="Q53" s="97"/>
      <c r="R53" s="97"/>
      <c r="S53" s="97"/>
      <c r="T53" s="97"/>
      <c r="U53" s="97"/>
      <c r="V53" s="97"/>
      <c r="W53" s="97"/>
      <c r="X53" s="97"/>
      <c r="Y53" s="97"/>
      <c r="Z53" s="97"/>
      <c r="AA53" s="97"/>
      <c r="AB53" s="97"/>
      <c r="AC53" s="97"/>
      <c r="AD53" s="97"/>
      <c r="AE53" s="97"/>
      <c r="AF53" s="97"/>
      <c r="AG53" s="97"/>
      <c r="AH53" s="97"/>
      <c r="AI53" s="97"/>
      <c r="AJ53" s="97"/>
      <c r="AK53" s="97"/>
      <c r="AL53" s="97"/>
    </row>
    <row r="54" spans="1:38" s="63" customFormat="1" ht="21" thickBot="1" x14ac:dyDescent="0.4">
      <c r="A54" s="97"/>
      <c r="B54" s="81"/>
      <c r="C54" s="97"/>
      <c r="D54" s="97"/>
      <c r="E54" s="97"/>
      <c r="F54" s="491"/>
      <c r="G54" s="501" t="s">
        <v>531</v>
      </c>
      <c r="H54" s="493"/>
      <c r="I54" s="493"/>
      <c r="J54" s="493"/>
      <c r="K54" s="493"/>
      <c r="L54" s="494"/>
      <c r="M54" s="97"/>
      <c r="N54" s="97"/>
      <c r="O54" s="97"/>
      <c r="P54" s="11"/>
      <c r="Q54" s="97"/>
      <c r="R54" s="97"/>
      <c r="S54" s="97"/>
      <c r="T54" s="97"/>
      <c r="U54" s="97"/>
      <c r="V54" s="97"/>
      <c r="W54" s="97"/>
      <c r="X54" s="97"/>
      <c r="Y54" s="97"/>
      <c r="Z54" s="97"/>
      <c r="AA54" s="97"/>
      <c r="AB54" s="97"/>
      <c r="AC54" s="97"/>
      <c r="AD54" s="97"/>
      <c r="AE54" s="97"/>
      <c r="AF54" s="97"/>
      <c r="AG54" s="97"/>
      <c r="AH54" s="97"/>
      <c r="AI54" s="97"/>
      <c r="AJ54" s="97"/>
      <c r="AK54" s="97"/>
      <c r="AL54" s="97"/>
    </row>
    <row r="55" spans="1:38" s="481" customFormat="1" ht="18" x14ac:dyDescent="0.2">
      <c r="A55" s="482"/>
      <c r="B55" s="486"/>
      <c r="C55" s="482"/>
      <c r="D55" s="482"/>
      <c r="E55" s="482"/>
      <c r="F55" s="485"/>
      <c r="G55" s="487"/>
      <c r="H55" s="484"/>
      <c r="I55" s="484"/>
      <c r="J55" s="484"/>
      <c r="K55" s="484"/>
      <c r="L55" s="484"/>
      <c r="M55" s="482"/>
      <c r="N55" s="482"/>
      <c r="O55" s="482"/>
      <c r="P55" s="483"/>
      <c r="Q55" s="482"/>
      <c r="R55" s="482"/>
      <c r="S55" s="482"/>
      <c r="T55" s="482"/>
      <c r="U55" s="482"/>
      <c r="V55" s="482"/>
      <c r="W55" s="482"/>
      <c r="X55" s="482"/>
      <c r="Y55" s="482"/>
      <c r="Z55" s="482"/>
      <c r="AA55" s="482"/>
      <c r="AB55" s="482"/>
      <c r="AC55" s="482"/>
      <c r="AD55" s="482"/>
      <c r="AE55" s="482"/>
      <c r="AF55" s="482"/>
      <c r="AG55" s="482"/>
      <c r="AH55" s="482"/>
      <c r="AI55" s="482"/>
      <c r="AJ55" s="482"/>
      <c r="AK55" s="482"/>
      <c r="AL55" s="482"/>
    </row>
    <row r="56" spans="1:38" ht="15.75" thickBot="1" x14ac:dyDescent="0.25">
      <c r="B56" s="81"/>
      <c r="C56" s="97"/>
      <c r="D56" s="97"/>
      <c r="E56" s="97"/>
      <c r="F56" s="97"/>
      <c r="G56" s="97"/>
      <c r="H56" s="97"/>
      <c r="I56" s="97"/>
      <c r="J56" s="97"/>
      <c r="K56" s="97"/>
      <c r="L56" s="97"/>
      <c r="M56" s="97"/>
      <c r="N56" s="97"/>
      <c r="P56" s="11"/>
    </row>
    <row r="57" spans="1:38" ht="18.75" thickBot="1" x14ac:dyDescent="0.25">
      <c r="B57" s="81"/>
      <c r="C57" s="1295" t="s">
        <v>55</v>
      </c>
      <c r="D57" s="1296"/>
      <c r="E57" s="1296"/>
      <c r="F57" s="1296"/>
      <c r="G57" s="1296"/>
      <c r="H57" s="1296"/>
      <c r="I57" s="1296"/>
      <c r="J57" s="1296"/>
      <c r="K57" s="1296"/>
      <c r="L57" s="1296"/>
      <c r="M57" s="1296"/>
      <c r="N57" s="1297"/>
      <c r="P57" s="11"/>
    </row>
    <row r="58" spans="1:38" x14ac:dyDescent="0.2">
      <c r="B58" s="81"/>
      <c r="C58" s="1292" t="s">
        <v>32</v>
      </c>
      <c r="D58" s="1293"/>
      <c r="E58" s="1293"/>
      <c r="F58" s="1293"/>
      <c r="G58" s="1293"/>
      <c r="H58" s="1293"/>
      <c r="I58" s="1293"/>
      <c r="J58" s="1293"/>
      <c r="K58" s="1293"/>
      <c r="L58" s="1293"/>
      <c r="M58" s="1293"/>
      <c r="N58" s="1294"/>
      <c r="P58" s="11"/>
    </row>
    <row r="59" spans="1:38" x14ac:dyDescent="0.2">
      <c r="B59" s="81"/>
      <c r="C59" s="35"/>
      <c r="D59" s="97"/>
      <c r="E59" s="42"/>
      <c r="F59" s="42"/>
      <c r="G59" s="36"/>
      <c r="H59" s="37"/>
      <c r="I59" s="97"/>
      <c r="J59" s="97"/>
      <c r="K59" s="97"/>
      <c r="L59" s="97"/>
      <c r="M59" s="97"/>
      <c r="N59" s="11"/>
      <c r="P59" s="11"/>
    </row>
    <row r="60" spans="1:38" ht="20.25" x14ac:dyDescent="0.35">
      <c r="B60" s="81"/>
      <c r="C60" s="1320" t="s">
        <v>366</v>
      </c>
      <c r="D60" s="1321"/>
      <c r="E60" s="1321"/>
      <c r="F60" s="1321"/>
      <c r="G60" s="1321"/>
      <c r="H60" s="1321"/>
      <c r="I60" s="1321"/>
      <c r="J60" s="1321"/>
      <c r="K60" s="1298" t="s">
        <v>160</v>
      </c>
      <c r="L60" s="1298"/>
      <c r="M60" s="1298"/>
      <c r="N60" s="1299"/>
      <c r="P60" s="11"/>
    </row>
    <row r="61" spans="1:38" x14ac:dyDescent="0.2">
      <c r="B61" s="81"/>
      <c r="C61" s="1237" t="s">
        <v>33</v>
      </c>
      <c r="D61" s="1238"/>
      <c r="E61" s="1238"/>
      <c r="F61" s="1238"/>
      <c r="G61" s="1238"/>
      <c r="H61" s="1238"/>
      <c r="I61" s="1238"/>
      <c r="J61" s="1238"/>
      <c r="K61" s="1238" t="s">
        <v>33</v>
      </c>
      <c r="L61" s="1238"/>
      <c r="M61" s="1238"/>
      <c r="N61" s="1247"/>
      <c r="P61" s="11"/>
    </row>
    <row r="62" spans="1:38" ht="19.5" x14ac:dyDescent="0.35">
      <c r="B62" s="81"/>
      <c r="C62" s="1237" t="s">
        <v>128</v>
      </c>
      <c r="D62" s="1238"/>
      <c r="E62" s="1238"/>
      <c r="F62" s="1238"/>
      <c r="G62" s="1238"/>
      <c r="H62" s="1238"/>
      <c r="I62" s="1238"/>
      <c r="J62" s="1238"/>
      <c r="K62" s="1228" t="s">
        <v>139</v>
      </c>
      <c r="L62" s="1228"/>
      <c r="M62" s="1228"/>
      <c r="N62" s="1229"/>
      <c r="P62" s="11"/>
    </row>
    <row r="63" spans="1:38" ht="19.5" x14ac:dyDescent="0.35">
      <c r="B63" s="81"/>
      <c r="C63" s="1237" t="s">
        <v>129</v>
      </c>
      <c r="D63" s="1238"/>
      <c r="E63" s="1238"/>
      <c r="F63" s="1238"/>
      <c r="G63" s="1238"/>
      <c r="H63" s="1238"/>
      <c r="I63" s="1238"/>
      <c r="J63" s="1238"/>
      <c r="K63" s="1228" t="s">
        <v>140</v>
      </c>
      <c r="L63" s="1228"/>
      <c r="M63" s="1228"/>
      <c r="N63" s="1229"/>
      <c r="P63" s="11"/>
    </row>
    <row r="64" spans="1:38" ht="20.25" x14ac:dyDescent="0.35">
      <c r="B64" s="81"/>
      <c r="C64" s="1237" t="s">
        <v>130</v>
      </c>
      <c r="D64" s="1238"/>
      <c r="E64" s="1238"/>
      <c r="F64" s="1238"/>
      <c r="G64" s="1238"/>
      <c r="H64" s="1238"/>
      <c r="I64" s="1238"/>
      <c r="J64" s="1238"/>
      <c r="K64" s="97"/>
      <c r="L64" s="97"/>
      <c r="M64" s="97"/>
      <c r="N64" s="11"/>
      <c r="P64" s="11"/>
    </row>
    <row r="65" spans="1:38" x14ac:dyDescent="0.2">
      <c r="B65" s="81"/>
      <c r="C65" s="1237" t="s">
        <v>34</v>
      </c>
      <c r="D65" s="1238"/>
      <c r="E65" s="1238"/>
      <c r="F65" s="1238"/>
      <c r="G65" s="1238"/>
      <c r="H65" s="1238"/>
      <c r="I65" s="1238"/>
      <c r="J65" s="1238"/>
      <c r="K65" s="97"/>
      <c r="L65" s="97"/>
      <c r="M65" s="97"/>
      <c r="N65" s="11"/>
      <c r="P65" s="11"/>
    </row>
    <row r="66" spans="1:38" ht="20.25" x14ac:dyDescent="0.35">
      <c r="B66" s="33"/>
      <c r="C66" s="1237" t="s">
        <v>150</v>
      </c>
      <c r="D66" s="1238"/>
      <c r="E66" s="1238"/>
      <c r="F66" s="1238"/>
      <c r="G66" s="1238"/>
      <c r="H66" s="1238"/>
      <c r="I66" s="1238"/>
      <c r="J66" s="1238"/>
      <c r="K66" s="97"/>
      <c r="L66" s="97"/>
      <c r="M66" s="97"/>
      <c r="N66" s="11"/>
      <c r="P66" s="11"/>
    </row>
    <row r="67" spans="1:38" s="63" customFormat="1" ht="18" x14ac:dyDescent="0.2">
      <c r="A67" s="97"/>
      <c r="B67" s="33"/>
      <c r="C67" s="263"/>
      <c r="D67" s="259"/>
      <c r="E67" s="259"/>
      <c r="F67" s="259"/>
      <c r="G67" s="259"/>
      <c r="H67" s="259"/>
      <c r="I67" s="259"/>
      <c r="J67" s="259"/>
      <c r="K67" s="97"/>
      <c r="L67" s="97"/>
      <c r="M67" s="97"/>
      <c r="N67" s="11"/>
      <c r="O67" s="97"/>
      <c r="P67" s="11"/>
      <c r="Q67" s="97"/>
      <c r="R67" s="97"/>
      <c r="S67" s="97"/>
      <c r="T67" s="97"/>
      <c r="U67" s="97"/>
      <c r="V67" s="97"/>
      <c r="W67" s="97"/>
      <c r="X67" s="97"/>
      <c r="Y67" s="97"/>
      <c r="Z67" s="97"/>
      <c r="AA67" s="97"/>
      <c r="AB67" s="97"/>
      <c r="AC67" s="97"/>
      <c r="AD67" s="97"/>
      <c r="AE67" s="97"/>
      <c r="AF67" s="97"/>
      <c r="AG67" s="97"/>
      <c r="AH67" s="97"/>
      <c r="AI67" s="97"/>
      <c r="AJ67" s="97"/>
      <c r="AK67" s="97"/>
      <c r="AL67" s="97"/>
    </row>
    <row r="68" spans="1:38" s="63" customFormat="1" ht="18" x14ac:dyDescent="0.2">
      <c r="A68" s="97"/>
      <c r="B68" s="33"/>
      <c r="C68" s="263" t="s">
        <v>308</v>
      </c>
      <c r="D68" s="1214" t="s">
        <v>310</v>
      </c>
      <c r="E68" s="1214"/>
      <c r="F68" s="1214"/>
      <c r="G68" s="1214"/>
      <c r="H68" s="1214"/>
      <c r="I68" s="1214"/>
      <c r="J68" s="1214"/>
      <c r="K68" s="1214"/>
      <c r="L68" s="1214"/>
      <c r="M68" s="1214"/>
      <c r="N68" s="1215"/>
      <c r="O68" s="97"/>
      <c r="P68" s="11"/>
      <c r="Q68" s="97"/>
      <c r="R68" s="97"/>
      <c r="S68" s="97"/>
      <c r="T68" s="97"/>
      <c r="U68" s="97"/>
      <c r="V68" s="97"/>
      <c r="W68" s="97"/>
      <c r="X68" s="97"/>
      <c r="Y68" s="97"/>
      <c r="Z68" s="97"/>
      <c r="AA68" s="97"/>
      <c r="AB68" s="97"/>
      <c r="AC68" s="97"/>
      <c r="AD68" s="97"/>
      <c r="AE68" s="97"/>
      <c r="AF68" s="97"/>
      <c r="AG68" s="97"/>
      <c r="AH68" s="97"/>
      <c r="AI68" s="97"/>
      <c r="AJ68" s="97"/>
      <c r="AK68" s="97"/>
      <c r="AL68" s="97"/>
    </row>
    <row r="69" spans="1:38" s="63" customFormat="1" ht="18.75" x14ac:dyDescent="0.2">
      <c r="A69" s="97"/>
      <c r="B69" s="33"/>
      <c r="C69" s="263"/>
      <c r="D69" s="1214" t="s">
        <v>312</v>
      </c>
      <c r="E69" s="1214"/>
      <c r="F69" s="1214"/>
      <c r="G69" s="1214"/>
      <c r="H69" s="1214"/>
      <c r="I69" s="1214"/>
      <c r="J69" s="1214"/>
      <c r="K69" s="1214"/>
      <c r="L69" s="1214"/>
      <c r="M69" s="1214"/>
      <c r="N69" s="1215"/>
      <c r="O69" s="97"/>
      <c r="P69" s="11"/>
      <c r="Q69" s="97"/>
      <c r="R69" s="97"/>
      <c r="S69" s="97"/>
      <c r="T69" s="97"/>
      <c r="U69" s="97"/>
      <c r="V69" s="97"/>
      <c r="W69" s="97"/>
      <c r="X69" s="97"/>
      <c r="Y69" s="97"/>
      <c r="Z69" s="97"/>
      <c r="AA69" s="97"/>
      <c r="AB69" s="97"/>
      <c r="AC69" s="97"/>
      <c r="AD69" s="97"/>
      <c r="AE69" s="97"/>
      <c r="AF69" s="97"/>
      <c r="AG69" s="97"/>
      <c r="AH69" s="97"/>
      <c r="AI69" s="97"/>
      <c r="AJ69" s="97"/>
      <c r="AK69" s="97"/>
      <c r="AL69" s="97"/>
    </row>
    <row r="70" spans="1:38" s="63" customFormat="1" ht="18.75" x14ac:dyDescent="0.2">
      <c r="A70" s="97"/>
      <c r="B70" s="33"/>
      <c r="C70" s="263"/>
      <c r="D70" s="1214" t="s">
        <v>313</v>
      </c>
      <c r="E70" s="1214"/>
      <c r="F70" s="1214"/>
      <c r="G70" s="1214"/>
      <c r="H70" s="1214"/>
      <c r="I70" s="1214"/>
      <c r="J70" s="1214"/>
      <c r="K70" s="1214"/>
      <c r="L70" s="1214"/>
      <c r="M70" s="1214"/>
      <c r="N70" s="1215"/>
      <c r="O70" s="97"/>
      <c r="P70" s="11"/>
      <c r="Q70" s="97"/>
      <c r="R70" s="97"/>
      <c r="S70" s="97"/>
      <c r="T70" s="97"/>
      <c r="U70" s="97"/>
      <c r="V70" s="97"/>
      <c r="W70" s="97"/>
      <c r="X70" s="97"/>
      <c r="Y70" s="97"/>
      <c r="Z70" s="97"/>
      <c r="AA70" s="97"/>
      <c r="AB70" s="97"/>
      <c r="AC70" s="97"/>
      <c r="AD70" s="97"/>
      <c r="AE70" s="97"/>
      <c r="AF70" s="97"/>
      <c r="AG70" s="97"/>
      <c r="AH70" s="97"/>
      <c r="AI70" s="97"/>
      <c r="AJ70" s="97"/>
      <c r="AK70" s="97"/>
      <c r="AL70" s="97"/>
    </row>
    <row r="71" spans="1:38" s="63" customFormat="1" ht="18" x14ac:dyDescent="0.2">
      <c r="A71" s="97"/>
      <c r="B71" s="33"/>
      <c r="C71" s="263"/>
      <c r="D71" s="1214" t="s">
        <v>309</v>
      </c>
      <c r="E71" s="1214"/>
      <c r="F71" s="1214"/>
      <c r="G71" s="1214"/>
      <c r="H71" s="1214"/>
      <c r="I71" s="1214"/>
      <c r="J71" s="1214"/>
      <c r="K71" s="1214"/>
      <c r="L71" s="1214"/>
      <c r="M71" s="1214"/>
      <c r="N71" s="1215"/>
      <c r="O71" s="97"/>
      <c r="P71" s="11"/>
      <c r="Q71" s="97"/>
      <c r="R71" s="97"/>
      <c r="S71" s="97"/>
      <c r="T71" s="97"/>
      <c r="U71" s="97"/>
      <c r="V71" s="97"/>
      <c r="W71" s="97"/>
      <c r="X71" s="97"/>
      <c r="Y71" s="97"/>
      <c r="Z71" s="97"/>
      <c r="AA71" s="97"/>
      <c r="AB71" s="97"/>
      <c r="AC71" s="97"/>
      <c r="AD71" s="97"/>
      <c r="AE71" s="97"/>
      <c r="AF71" s="97"/>
      <c r="AG71" s="97"/>
      <c r="AH71" s="97"/>
      <c r="AI71" s="97"/>
      <c r="AJ71" s="97"/>
      <c r="AK71" s="97"/>
      <c r="AL71" s="97"/>
    </row>
    <row r="72" spans="1:38" s="63" customFormat="1" ht="18" x14ac:dyDescent="0.2">
      <c r="A72" s="97"/>
      <c r="B72" s="33"/>
      <c r="C72" s="263"/>
      <c r="D72" s="264" t="s">
        <v>311</v>
      </c>
      <c r="E72" s="133"/>
      <c r="F72" s="133"/>
      <c r="G72" s="133"/>
      <c r="H72" s="133"/>
      <c r="I72" s="133"/>
      <c r="J72" s="133"/>
      <c r="K72" s="134"/>
      <c r="L72" s="134"/>
      <c r="M72" s="134"/>
      <c r="N72" s="135"/>
      <c r="O72" s="97"/>
      <c r="P72" s="11"/>
      <c r="Q72" s="97"/>
      <c r="R72" s="97"/>
      <c r="S72" s="97"/>
      <c r="T72" s="97"/>
      <c r="U72" s="97"/>
      <c r="V72" s="97"/>
      <c r="W72" s="97"/>
      <c r="X72" s="97"/>
      <c r="Y72" s="97"/>
      <c r="Z72" s="97"/>
      <c r="AA72" s="97"/>
      <c r="AB72" s="97"/>
      <c r="AC72" s="97"/>
      <c r="AD72" s="97"/>
      <c r="AE72" s="97"/>
      <c r="AF72" s="97"/>
      <c r="AG72" s="97"/>
      <c r="AH72" s="97"/>
      <c r="AI72" s="97"/>
      <c r="AJ72" s="97"/>
      <c r="AK72" s="97"/>
      <c r="AL72" s="97"/>
    </row>
    <row r="73" spans="1:38" ht="22.5" customHeight="1" thickBot="1" x14ac:dyDescent="0.25">
      <c r="B73" s="81"/>
      <c r="C73" s="82"/>
      <c r="D73" s="136" t="s">
        <v>356</v>
      </c>
      <c r="E73" s="84"/>
      <c r="F73" s="84"/>
      <c r="G73" s="84"/>
      <c r="H73" s="84"/>
      <c r="I73" s="84"/>
      <c r="J73" s="84"/>
      <c r="K73" s="84"/>
      <c r="L73" s="84"/>
      <c r="M73" s="84"/>
      <c r="N73" s="137"/>
      <c r="P73" s="11"/>
    </row>
    <row r="74" spans="1:38" ht="15.75" thickBot="1" x14ac:dyDescent="0.25">
      <c r="B74" s="82"/>
      <c r="C74" s="83"/>
      <c r="D74" s="83"/>
      <c r="E74" s="83"/>
      <c r="F74" s="83"/>
      <c r="G74" s="83"/>
      <c r="H74" s="83"/>
      <c r="I74" s="83"/>
      <c r="J74" s="83"/>
      <c r="K74" s="83"/>
      <c r="L74" s="83"/>
      <c r="M74" s="83"/>
      <c r="N74" s="83"/>
      <c r="O74" s="83"/>
      <c r="P74" s="20"/>
    </row>
    <row r="75" spans="1:38" s="63" customFormat="1" ht="15.75" thickBot="1" x14ac:dyDescent="0.25">
      <c r="A75" s="97"/>
      <c r="B75" s="254"/>
      <c r="C75" s="289"/>
      <c r="D75" s="289"/>
      <c r="E75" s="289"/>
      <c r="F75" s="289"/>
      <c r="G75" s="289"/>
      <c r="H75" s="289"/>
      <c r="I75" s="289"/>
      <c r="J75" s="289"/>
      <c r="K75" s="289"/>
      <c r="L75" s="289"/>
      <c r="M75" s="289"/>
      <c r="N75" s="289"/>
      <c r="O75" s="289"/>
      <c r="P75" s="255"/>
      <c r="Q75" s="97"/>
      <c r="R75" s="97"/>
      <c r="S75" s="97"/>
      <c r="T75" s="97"/>
      <c r="U75" s="97"/>
      <c r="V75" s="97"/>
      <c r="W75" s="97"/>
      <c r="X75" s="97"/>
      <c r="Y75" s="97"/>
      <c r="Z75" s="97"/>
      <c r="AA75" s="97"/>
      <c r="AB75" s="97"/>
      <c r="AC75" s="97"/>
      <c r="AD75" s="97"/>
      <c r="AE75" s="97"/>
      <c r="AF75" s="97"/>
      <c r="AG75" s="97"/>
      <c r="AH75" s="97"/>
      <c r="AI75" s="97"/>
      <c r="AJ75" s="97"/>
      <c r="AK75" s="97"/>
      <c r="AL75" s="97"/>
    </row>
    <row r="76" spans="1:38" ht="21" thickBot="1" x14ac:dyDescent="0.25">
      <c r="B76" s="409"/>
      <c r="C76" s="1275" t="s">
        <v>64</v>
      </c>
      <c r="D76" s="1276"/>
      <c r="E76" s="1276"/>
      <c r="F76" s="1276"/>
      <c r="G76" s="1276"/>
      <c r="H76" s="1276"/>
      <c r="I76" s="1276"/>
      <c r="J76" s="1276"/>
      <c r="K76" s="1276"/>
      <c r="L76" s="1276"/>
      <c r="M76" s="1276"/>
      <c r="N76" s="1277"/>
      <c r="O76" s="81"/>
      <c r="P76" s="11"/>
    </row>
    <row r="77" spans="1:38" x14ac:dyDescent="0.2">
      <c r="B77" s="81"/>
      <c r="C77" s="245"/>
      <c r="D77" s="246"/>
      <c r="E77" s="97"/>
      <c r="F77" s="97"/>
      <c r="G77" s="97"/>
      <c r="H77" s="97"/>
      <c r="I77" s="97"/>
      <c r="J77" s="97"/>
      <c r="K77" s="97"/>
      <c r="L77" s="97"/>
      <c r="M77" s="97"/>
      <c r="N77" s="11"/>
      <c r="P77" s="11"/>
    </row>
    <row r="78" spans="1:38" ht="19.5" x14ac:dyDescent="0.2">
      <c r="B78" s="81"/>
      <c r="C78" s="81"/>
      <c r="D78" s="97"/>
      <c r="E78" s="97"/>
      <c r="F78" s="5" t="s">
        <v>65</v>
      </c>
      <c r="G78" s="15" t="s">
        <v>66</v>
      </c>
      <c r="H78" s="97"/>
      <c r="I78" s="45" t="s">
        <v>70</v>
      </c>
      <c r="J78" s="45"/>
      <c r="K78" s="45"/>
      <c r="L78" s="97"/>
      <c r="M78" s="97"/>
      <c r="N78" s="11"/>
      <c r="P78" s="11"/>
    </row>
    <row r="79" spans="1:38" ht="15.75" customHeight="1" x14ac:dyDescent="0.2">
      <c r="B79" s="81"/>
      <c r="C79" s="81"/>
      <c r="D79" s="97"/>
      <c r="E79" s="97"/>
      <c r="F79" s="246"/>
      <c r="G79" s="246" t="s">
        <v>67</v>
      </c>
      <c r="H79" s="97"/>
      <c r="I79" s="45" t="s">
        <v>68</v>
      </c>
      <c r="J79" s="45"/>
      <c r="K79" s="45"/>
      <c r="L79" s="97"/>
      <c r="M79" s="97"/>
      <c r="N79" s="11"/>
      <c r="P79" s="11"/>
    </row>
    <row r="80" spans="1:38" x14ac:dyDescent="0.2">
      <c r="B80" s="81"/>
      <c r="C80" s="81"/>
      <c r="D80" s="97"/>
      <c r="E80" s="97"/>
      <c r="F80" s="246"/>
      <c r="G80" s="246"/>
      <c r="H80" s="97"/>
      <c r="I80" s="8" t="s">
        <v>69</v>
      </c>
      <c r="J80" s="8"/>
      <c r="K80" s="9"/>
      <c r="L80" s="97"/>
      <c r="M80" s="97"/>
      <c r="N80" s="11"/>
      <c r="P80" s="11"/>
    </row>
    <row r="81" spans="2:16" x14ac:dyDescent="0.2">
      <c r="B81" s="81"/>
      <c r="C81" s="81"/>
      <c r="D81" s="97"/>
      <c r="E81" s="97"/>
      <c r="F81" s="97"/>
      <c r="G81" s="97"/>
      <c r="H81" s="97"/>
      <c r="I81" s="78" t="s">
        <v>71</v>
      </c>
      <c r="J81" s="78"/>
      <c r="K81" s="10"/>
      <c r="L81" s="97"/>
      <c r="M81" s="97"/>
      <c r="N81" s="11"/>
      <c r="P81" s="11"/>
    </row>
    <row r="82" spans="2:16" x14ac:dyDescent="0.2">
      <c r="B82" s="81"/>
      <c r="C82" s="81"/>
      <c r="D82" s="97"/>
      <c r="E82" s="97"/>
      <c r="F82" s="97"/>
      <c r="G82" s="97"/>
      <c r="H82" s="97"/>
      <c r="I82" s="97"/>
      <c r="J82" s="97"/>
      <c r="K82" s="97"/>
      <c r="L82" s="97"/>
      <c r="M82" s="97"/>
      <c r="N82" s="11"/>
      <c r="P82" s="11"/>
    </row>
    <row r="83" spans="2:16" ht="19.5" x14ac:dyDescent="0.2">
      <c r="B83" s="245"/>
      <c r="C83" s="81"/>
      <c r="D83" s="97"/>
      <c r="E83" s="97"/>
      <c r="F83" s="5" t="s">
        <v>72</v>
      </c>
      <c r="G83" s="77" t="s">
        <v>80</v>
      </c>
      <c r="H83" s="97"/>
      <c r="I83" s="97"/>
      <c r="J83" s="97"/>
      <c r="K83" s="97"/>
      <c r="L83" s="97"/>
      <c r="M83" s="97"/>
      <c r="N83" s="11"/>
      <c r="P83" s="11"/>
    </row>
    <row r="84" spans="2:16" ht="19.5" x14ac:dyDescent="0.2">
      <c r="B84" s="81"/>
      <c r="C84" s="81"/>
      <c r="D84" s="97"/>
      <c r="E84" s="97"/>
      <c r="F84" s="5" t="s">
        <v>72</v>
      </c>
      <c r="G84" s="77" t="s">
        <v>75</v>
      </c>
      <c r="H84" s="97"/>
      <c r="I84" s="97"/>
      <c r="J84" s="97"/>
      <c r="K84" s="97"/>
      <c r="L84" s="97"/>
      <c r="M84" s="97"/>
      <c r="N84" s="11"/>
      <c r="P84" s="11"/>
    </row>
    <row r="85" spans="2:16" ht="19.5" x14ac:dyDescent="0.2">
      <c r="B85" s="81"/>
      <c r="C85" s="81"/>
      <c r="D85" s="97"/>
      <c r="E85" s="97"/>
      <c r="F85" s="246"/>
      <c r="G85" s="246"/>
      <c r="H85" s="97"/>
      <c r="I85" s="77" t="s">
        <v>73</v>
      </c>
      <c r="J85" s="97"/>
      <c r="K85" s="97"/>
      <c r="L85" s="97"/>
      <c r="M85" s="97"/>
      <c r="N85" s="11"/>
      <c r="P85" s="11"/>
    </row>
    <row r="86" spans="2:16" x14ac:dyDescent="0.2">
      <c r="B86" s="81"/>
      <c r="C86" s="81"/>
      <c r="D86" s="97"/>
      <c r="E86" s="97"/>
      <c r="F86" s="246"/>
      <c r="G86" s="246"/>
      <c r="H86" s="97"/>
      <c r="I86" s="77" t="s">
        <v>74</v>
      </c>
      <c r="J86" s="97"/>
      <c r="K86" s="97"/>
      <c r="L86" s="97"/>
      <c r="M86" s="97"/>
      <c r="N86" s="11"/>
      <c r="P86" s="11"/>
    </row>
    <row r="87" spans="2:16" ht="15.75" thickBot="1" x14ac:dyDescent="0.25">
      <c r="B87" s="81"/>
      <c r="C87" s="412" t="s">
        <v>746</v>
      </c>
      <c r="D87" s="97"/>
      <c r="E87" s="97"/>
      <c r="F87" s="97"/>
      <c r="G87" s="97"/>
      <c r="H87" s="97"/>
      <c r="I87" s="97"/>
      <c r="J87" s="97"/>
      <c r="K87" s="97"/>
      <c r="L87" s="97"/>
      <c r="M87" s="97"/>
      <c r="N87" s="11"/>
      <c r="P87" s="11"/>
    </row>
    <row r="88" spans="2:16" ht="18.75" thickBot="1" x14ac:dyDescent="0.25">
      <c r="B88" s="81"/>
      <c r="C88" s="1289" t="s">
        <v>85</v>
      </c>
      <c r="D88" s="1290"/>
      <c r="E88" s="1290"/>
      <c r="F88" s="1290"/>
      <c r="G88" s="1290"/>
      <c r="H88" s="1291"/>
      <c r="I88" s="1289" t="s">
        <v>58</v>
      </c>
      <c r="J88" s="1290"/>
      <c r="K88" s="1290"/>
      <c r="L88" s="1290"/>
      <c r="M88" s="1290"/>
      <c r="N88" s="1291"/>
      <c r="P88" s="11"/>
    </row>
    <row r="89" spans="2:16" ht="15.75" x14ac:dyDescent="0.25">
      <c r="B89" s="81"/>
      <c r="C89" s="81"/>
      <c r="D89" s="97"/>
      <c r="E89" s="97"/>
      <c r="F89" s="97"/>
      <c r="G89" s="97"/>
      <c r="H89" s="11"/>
      <c r="I89" s="79" t="s">
        <v>46</v>
      </c>
      <c r="J89" s="97"/>
      <c r="K89" s="97"/>
      <c r="L89" s="97"/>
      <c r="M89" s="97"/>
      <c r="N89" s="11"/>
      <c r="P89" s="11"/>
    </row>
    <row r="90" spans="2:16" ht="19.5" x14ac:dyDescent="0.2">
      <c r="B90" s="81"/>
      <c r="C90" s="17" t="s">
        <v>65</v>
      </c>
      <c r="D90" s="18" t="s">
        <v>76</v>
      </c>
      <c r="E90" s="19"/>
      <c r="F90" s="97"/>
      <c r="G90" s="97"/>
      <c r="H90" s="11"/>
      <c r="I90" s="17" t="s">
        <v>171</v>
      </c>
      <c r="J90" s="7" t="s">
        <v>97</v>
      </c>
      <c r="K90" s="32" t="s">
        <v>98</v>
      </c>
      <c r="L90" s="97"/>
      <c r="M90" s="97"/>
      <c r="N90" s="11"/>
      <c r="P90" s="11"/>
    </row>
    <row r="91" spans="2:16" ht="20.25" x14ac:dyDescent="0.35">
      <c r="B91" s="81"/>
      <c r="C91" s="81"/>
      <c r="D91" s="97" t="s">
        <v>77</v>
      </c>
      <c r="E91" s="97"/>
      <c r="F91" s="97"/>
      <c r="G91" s="97"/>
      <c r="H91" s="11"/>
      <c r="I91" s="17" t="s">
        <v>172</v>
      </c>
      <c r="J91" s="7" t="s">
        <v>97</v>
      </c>
      <c r="K91" s="32" t="s">
        <v>99</v>
      </c>
      <c r="L91" s="97"/>
      <c r="M91" s="97"/>
      <c r="N91" s="11"/>
      <c r="P91" s="11"/>
    </row>
    <row r="92" spans="2:16" x14ac:dyDescent="0.2">
      <c r="B92" s="81"/>
      <c r="C92" s="81"/>
      <c r="D92" s="97"/>
      <c r="E92" s="97"/>
      <c r="F92" s="97"/>
      <c r="G92" s="97"/>
      <c r="H92" s="11"/>
      <c r="I92" s="81"/>
      <c r="J92" s="97"/>
      <c r="K92" s="97"/>
      <c r="L92" s="97"/>
      <c r="M92" s="97"/>
      <c r="N92" s="11"/>
      <c r="P92" s="11"/>
    </row>
    <row r="93" spans="2:16" ht="19.5" x14ac:dyDescent="0.2">
      <c r="B93" s="81"/>
      <c r="C93" s="81"/>
      <c r="D93" s="45" t="s">
        <v>70</v>
      </c>
      <c r="E93" s="45"/>
      <c r="F93" s="45"/>
      <c r="G93" s="97"/>
      <c r="H93" s="11"/>
      <c r="I93" s="81"/>
      <c r="J93" s="45" t="s">
        <v>100</v>
      </c>
      <c r="K93" s="45"/>
      <c r="L93" s="45"/>
      <c r="M93" s="97"/>
      <c r="N93" s="11"/>
      <c r="P93" s="11"/>
    </row>
    <row r="94" spans="2:16" x14ac:dyDescent="0.2">
      <c r="B94" s="81"/>
      <c r="C94" s="81"/>
      <c r="D94" s="97" t="s">
        <v>78</v>
      </c>
      <c r="E94" s="97"/>
      <c r="F94" s="97"/>
      <c r="G94" s="97"/>
      <c r="H94" s="11"/>
      <c r="I94" s="81"/>
      <c r="J94" s="97" t="s">
        <v>101</v>
      </c>
      <c r="K94" s="97"/>
      <c r="L94" s="97"/>
      <c r="M94" s="97"/>
      <c r="N94" s="11"/>
      <c r="P94" s="11"/>
    </row>
    <row r="95" spans="2:16" x14ac:dyDescent="0.2">
      <c r="B95" s="81"/>
      <c r="C95" s="81"/>
      <c r="D95" s="97" t="s">
        <v>68</v>
      </c>
      <c r="E95" s="97"/>
      <c r="F95" s="97"/>
      <c r="G95" s="97"/>
      <c r="H95" s="11"/>
      <c r="I95" s="81"/>
      <c r="J95" s="97"/>
      <c r="K95" s="97"/>
      <c r="L95" s="97"/>
      <c r="M95" s="97"/>
      <c r="N95" s="11"/>
      <c r="P95" s="11"/>
    </row>
    <row r="96" spans="2:16" ht="19.5" x14ac:dyDescent="0.35">
      <c r="B96" s="81"/>
      <c r="C96" s="81"/>
      <c r="D96" s="97" t="s">
        <v>348</v>
      </c>
      <c r="E96" s="97"/>
      <c r="F96" s="97"/>
      <c r="G96" s="97"/>
      <c r="H96" s="11"/>
      <c r="I96" s="81"/>
      <c r="J96" s="5" t="s">
        <v>65</v>
      </c>
      <c r="K96" s="15" t="s">
        <v>66</v>
      </c>
      <c r="L96" s="97"/>
      <c r="M96" s="97"/>
      <c r="N96" s="11"/>
      <c r="P96" s="11"/>
    </row>
    <row r="97" spans="2:16" x14ac:dyDescent="0.2">
      <c r="B97" s="81"/>
      <c r="C97" s="81"/>
      <c r="D97" s="97" t="s">
        <v>79</v>
      </c>
      <c r="E97" s="97"/>
      <c r="F97" s="97"/>
      <c r="G97" s="97"/>
      <c r="H97" s="11"/>
      <c r="I97" s="81"/>
      <c r="J97" s="246"/>
      <c r="K97" s="246" t="s">
        <v>67</v>
      </c>
      <c r="L97" s="97"/>
      <c r="M97" s="97"/>
      <c r="N97" s="11"/>
      <c r="P97" s="11"/>
    </row>
    <row r="98" spans="2:16" x14ac:dyDescent="0.2">
      <c r="B98" s="81"/>
      <c r="C98" s="81"/>
      <c r="D98" s="97"/>
      <c r="E98" s="97"/>
      <c r="F98" s="97"/>
      <c r="G98" s="97"/>
      <c r="H98" s="11"/>
      <c r="I98" s="81"/>
      <c r="J98" s="246"/>
      <c r="K98" s="246"/>
      <c r="L98" s="97"/>
      <c r="M98" s="97"/>
      <c r="N98" s="11"/>
      <c r="P98" s="11"/>
    </row>
    <row r="99" spans="2:16" ht="19.5" x14ac:dyDescent="0.2">
      <c r="B99" s="81"/>
      <c r="C99" s="81"/>
      <c r="D99" s="97"/>
      <c r="E99" s="97"/>
      <c r="F99" s="97"/>
      <c r="G99" s="97"/>
      <c r="H99" s="11"/>
      <c r="I99" s="81"/>
      <c r="J99" s="45" t="s">
        <v>70</v>
      </c>
      <c r="K99" s="45"/>
      <c r="L99" s="45"/>
      <c r="M99" s="97"/>
      <c r="N99" s="11"/>
      <c r="P99" s="11"/>
    </row>
    <row r="100" spans="2:16" x14ac:dyDescent="0.2">
      <c r="B100" s="81"/>
      <c r="C100" s="81"/>
      <c r="D100" s="97"/>
      <c r="E100" s="97"/>
      <c r="F100" s="97"/>
      <c r="G100" s="97"/>
      <c r="H100" s="11"/>
      <c r="I100" s="81"/>
      <c r="J100" s="45" t="s">
        <v>68</v>
      </c>
      <c r="K100" s="45"/>
      <c r="L100" s="45"/>
      <c r="M100" s="97"/>
      <c r="N100" s="11"/>
      <c r="P100" s="11"/>
    </row>
    <row r="101" spans="2:16" ht="15.75" thickBot="1" x14ac:dyDescent="0.25">
      <c r="B101" s="81"/>
      <c r="C101" s="82"/>
      <c r="D101" s="83"/>
      <c r="E101" s="83"/>
      <c r="F101" s="83"/>
      <c r="G101" s="83"/>
      <c r="H101" s="20"/>
      <c r="I101" s="81"/>
      <c r="J101" s="8" t="s">
        <v>69</v>
      </c>
      <c r="K101" s="8"/>
      <c r="L101" s="9"/>
      <c r="M101" s="97"/>
      <c r="N101" s="11"/>
      <c r="P101" s="11"/>
    </row>
    <row r="102" spans="2:16" ht="19.5" customHeight="1" thickBot="1" x14ac:dyDescent="0.25">
      <c r="B102" s="81"/>
      <c r="C102" s="1218" t="s">
        <v>84</v>
      </c>
      <c r="D102" s="1219"/>
      <c r="E102" s="1219"/>
      <c r="F102" s="1219"/>
      <c r="G102" s="1219"/>
      <c r="H102" s="1220"/>
      <c r="I102" s="82"/>
      <c r="J102" s="84" t="s">
        <v>71</v>
      </c>
      <c r="K102" s="84"/>
      <c r="L102" s="30"/>
      <c r="M102" s="83"/>
      <c r="N102" s="20"/>
      <c r="P102" s="11"/>
    </row>
    <row r="103" spans="2:16" ht="18.75" thickBot="1" x14ac:dyDescent="0.25">
      <c r="B103" s="81"/>
      <c r="C103" s="1221"/>
      <c r="D103" s="1222"/>
      <c r="E103" s="1222"/>
      <c r="F103" s="1222"/>
      <c r="G103" s="1222"/>
      <c r="H103" s="1223"/>
      <c r="I103" s="1289" t="s">
        <v>173</v>
      </c>
      <c r="J103" s="1290"/>
      <c r="K103" s="1290"/>
      <c r="L103" s="1290"/>
      <c r="M103" s="1290"/>
      <c r="N103" s="1291"/>
      <c r="P103" s="11"/>
    </row>
    <row r="104" spans="2:16" ht="18" customHeight="1" x14ac:dyDescent="0.25">
      <c r="B104" s="81"/>
      <c r="C104" s="1224"/>
      <c r="D104" s="1225"/>
      <c r="E104" s="1225"/>
      <c r="F104" s="1225"/>
      <c r="G104" s="1225"/>
      <c r="H104" s="1226"/>
      <c r="I104" s="79"/>
      <c r="J104" s="97"/>
      <c r="K104" s="97"/>
      <c r="L104" s="97"/>
      <c r="M104" s="97"/>
      <c r="N104" s="11"/>
      <c r="P104" s="11"/>
    </row>
    <row r="105" spans="2:16" ht="18" x14ac:dyDescent="0.2">
      <c r="B105" s="81"/>
      <c r="C105" s="22" t="s">
        <v>81</v>
      </c>
      <c r="D105" s="23"/>
      <c r="E105" s="23"/>
      <c r="F105" s="23"/>
      <c r="G105" s="24"/>
      <c r="H105" s="258" t="s">
        <v>82</v>
      </c>
      <c r="I105" s="80"/>
      <c r="J105" s="5" t="s">
        <v>97</v>
      </c>
      <c r="K105" s="16" t="s">
        <v>104</v>
      </c>
      <c r="L105" s="97"/>
      <c r="M105" s="97"/>
      <c r="N105" s="11"/>
      <c r="P105" s="11"/>
    </row>
    <row r="106" spans="2:16" ht="20.100000000000001" customHeight="1" x14ac:dyDescent="0.2">
      <c r="B106" s="81"/>
      <c r="C106" s="25" t="s">
        <v>91</v>
      </c>
      <c r="D106" s="26"/>
      <c r="E106" s="26"/>
      <c r="F106" s="26"/>
      <c r="G106" s="27"/>
      <c r="H106" s="260">
        <v>1.0999999999999999E-2</v>
      </c>
      <c r="I106" s="80"/>
      <c r="J106" s="7"/>
      <c r="K106" s="6" t="s">
        <v>82</v>
      </c>
      <c r="L106" s="97"/>
      <c r="M106" s="97"/>
      <c r="N106" s="11"/>
      <c r="P106" s="11"/>
    </row>
    <row r="107" spans="2:16" ht="20.100000000000001" customHeight="1" x14ac:dyDescent="0.2">
      <c r="B107" s="81"/>
      <c r="C107" s="25" t="s">
        <v>83</v>
      </c>
      <c r="D107" s="256"/>
      <c r="E107" s="256"/>
      <c r="F107" s="256"/>
      <c r="G107" s="27"/>
      <c r="H107" s="260">
        <v>0.24</v>
      </c>
      <c r="I107" s="81"/>
      <c r="J107" s="97"/>
      <c r="K107" s="97"/>
      <c r="L107" s="97"/>
      <c r="M107" s="97"/>
      <c r="N107" s="11"/>
      <c r="P107" s="11"/>
    </row>
    <row r="108" spans="2:16" ht="20.100000000000001" customHeight="1" thickBot="1" x14ac:dyDescent="0.25">
      <c r="B108" s="81"/>
      <c r="C108" s="28" t="s">
        <v>13</v>
      </c>
      <c r="D108" s="257"/>
      <c r="E108" s="257"/>
      <c r="F108" s="257"/>
      <c r="G108" s="29"/>
      <c r="H108" s="21">
        <v>0.4</v>
      </c>
      <c r="I108" s="81"/>
      <c r="J108" s="45" t="s">
        <v>100</v>
      </c>
      <c r="K108" s="45"/>
      <c r="L108" s="45"/>
      <c r="M108" s="97"/>
      <c r="N108" s="11"/>
      <c r="P108" s="11"/>
    </row>
    <row r="109" spans="2:16" ht="20.100000000000001" customHeight="1" x14ac:dyDescent="0.2">
      <c r="B109" s="81"/>
      <c r="C109" s="1248" t="s">
        <v>294</v>
      </c>
      <c r="D109" s="1249"/>
      <c r="E109" s="1249"/>
      <c r="F109" s="1249"/>
      <c r="G109" s="1249"/>
      <c r="H109" s="1250"/>
      <c r="I109" s="81"/>
      <c r="J109" s="97" t="s">
        <v>105</v>
      </c>
      <c r="K109" s="97"/>
      <c r="L109" s="97"/>
      <c r="M109" s="97"/>
      <c r="N109" s="11"/>
      <c r="P109" s="11"/>
    </row>
    <row r="110" spans="2:16" ht="20.100000000000001" customHeight="1" x14ac:dyDescent="0.2">
      <c r="B110" s="81"/>
      <c r="C110" s="1251"/>
      <c r="D110" s="1252"/>
      <c r="E110" s="1252"/>
      <c r="F110" s="1252"/>
      <c r="G110" s="1252"/>
      <c r="H110" s="1253"/>
      <c r="I110" s="81"/>
      <c r="J110" s="97" t="s">
        <v>106</v>
      </c>
      <c r="K110" s="97"/>
      <c r="L110" s="97"/>
      <c r="M110" s="97"/>
      <c r="N110" s="11"/>
      <c r="P110" s="11"/>
    </row>
    <row r="111" spans="2:16" ht="20.100000000000001" customHeight="1" thickBot="1" x14ac:dyDescent="0.25">
      <c r="B111" s="81"/>
      <c r="C111" s="1254"/>
      <c r="D111" s="1255"/>
      <c r="E111" s="1255"/>
      <c r="F111" s="1255"/>
      <c r="G111" s="1255"/>
      <c r="H111" s="1256"/>
      <c r="I111" s="81"/>
      <c r="J111" s="77" t="s">
        <v>107</v>
      </c>
      <c r="K111" s="246"/>
      <c r="L111" s="97"/>
      <c r="M111" s="97"/>
      <c r="N111" s="11"/>
      <c r="P111" s="11"/>
    </row>
    <row r="112" spans="2:16" ht="20.100000000000001" customHeight="1" x14ac:dyDescent="0.2">
      <c r="B112" s="81"/>
      <c r="C112" s="127" t="s">
        <v>175</v>
      </c>
      <c r="D112" s="128" t="s">
        <v>295</v>
      </c>
      <c r="E112" s="127" t="s">
        <v>175</v>
      </c>
      <c r="F112" s="128" t="s">
        <v>295</v>
      </c>
      <c r="G112" s="127" t="s">
        <v>175</v>
      </c>
      <c r="H112" s="129" t="s">
        <v>295</v>
      </c>
      <c r="I112" s="81"/>
      <c r="J112" s="246"/>
      <c r="K112" s="246"/>
      <c r="L112" s="97"/>
      <c r="M112" s="97"/>
      <c r="N112" s="11"/>
      <c r="P112" s="11"/>
    </row>
    <row r="113" spans="2:16" ht="20.100000000000001" customHeight="1" x14ac:dyDescent="0.2">
      <c r="B113" s="81"/>
      <c r="C113" s="125">
        <v>40</v>
      </c>
      <c r="D113" s="121">
        <v>3</v>
      </c>
      <c r="E113" s="125">
        <v>60</v>
      </c>
      <c r="F113" s="121">
        <v>1.333</v>
      </c>
      <c r="G113" s="125">
        <v>80</v>
      </c>
      <c r="H113" s="122">
        <v>0.5</v>
      </c>
      <c r="I113" s="81"/>
      <c r="J113" s="246"/>
      <c r="K113" s="246"/>
      <c r="L113" s="97"/>
      <c r="M113" s="97"/>
      <c r="N113" s="11"/>
      <c r="P113" s="11"/>
    </row>
    <row r="114" spans="2:16" ht="20.100000000000001" customHeight="1" x14ac:dyDescent="0.2">
      <c r="B114" s="81"/>
      <c r="C114" s="125">
        <v>41</v>
      </c>
      <c r="D114" s="121">
        <v>2.8780000000000001</v>
      </c>
      <c r="E114" s="125">
        <f>E113+1</f>
        <v>61</v>
      </c>
      <c r="F114" s="121">
        <v>1.2789999999999999</v>
      </c>
      <c r="G114" s="125">
        <f>G113+1</f>
        <v>81</v>
      </c>
      <c r="H114" s="122">
        <v>0.46899999999999997</v>
      </c>
      <c r="I114" s="12" t="s">
        <v>110</v>
      </c>
      <c r="J114" s="15" t="s">
        <v>111</v>
      </c>
      <c r="K114" s="97"/>
      <c r="L114" s="5" t="s">
        <v>65</v>
      </c>
      <c r="M114" s="15" t="s">
        <v>66</v>
      </c>
      <c r="N114" s="11"/>
      <c r="P114" s="11"/>
    </row>
    <row r="115" spans="2:16" ht="20.100000000000001" customHeight="1" x14ac:dyDescent="0.2">
      <c r="B115" s="81"/>
      <c r="C115" s="125">
        <f>C114+1</f>
        <v>42</v>
      </c>
      <c r="D115" s="121">
        <v>2.762</v>
      </c>
      <c r="E115" s="125">
        <f t="shared" ref="E115:E132" si="0">E114+1</f>
        <v>62</v>
      </c>
      <c r="F115" s="121">
        <v>1.226</v>
      </c>
      <c r="G115" s="125">
        <f t="shared" ref="G115:G131" si="1">G114+1</f>
        <v>82</v>
      </c>
      <c r="H115" s="122">
        <v>0.439</v>
      </c>
      <c r="I115" s="81"/>
      <c r="J115" s="246" t="s">
        <v>112</v>
      </c>
      <c r="K115" s="97"/>
      <c r="L115" s="246"/>
      <c r="M115" s="246" t="s">
        <v>67</v>
      </c>
      <c r="N115" s="11"/>
      <c r="P115" s="11"/>
    </row>
    <row r="116" spans="2:16" ht="18" customHeight="1" x14ac:dyDescent="0.2">
      <c r="B116" s="81"/>
      <c r="C116" s="125">
        <f t="shared" ref="C116:C132" si="2">C115+1</f>
        <v>43</v>
      </c>
      <c r="D116" s="121">
        <v>2.6509999999999998</v>
      </c>
      <c r="E116" s="125">
        <f t="shared" si="0"/>
        <v>63</v>
      </c>
      <c r="F116" s="121">
        <v>1.175</v>
      </c>
      <c r="G116" s="125">
        <f t="shared" si="1"/>
        <v>83</v>
      </c>
      <c r="H116" s="122">
        <v>0.41</v>
      </c>
      <c r="I116" s="81"/>
      <c r="J116" s="97"/>
      <c r="K116" s="97"/>
      <c r="L116" s="246"/>
      <c r="M116" s="246"/>
      <c r="N116" s="11"/>
      <c r="P116" s="11"/>
    </row>
    <row r="117" spans="2:16" ht="19.5" x14ac:dyDescent="0.2">
      <c r="B117" s="81"/>
      <c r="C117" s="125">
        <f t="shared" si="2"/>
        <v>44</v>
      </c>
      <c r="D117" s="121">
        <v>2.5449999999999999</v>
      </c>
      <c r="E117" s="125">
        <f t="shared" si="0"/>
        <v>64</v>
      </c>
      <c r="F117" s="121">
        <v>1.125</v>
      </c>
      <c r="G117" s="125">
        <f t="shared" si="1"/>
        <v>84</v>
      </c>
      <c r="H117" s="122">
        <v>0.38100000000000001</v>
      </c>
      <c r="I117" s="81" t="s">
        <v>113</v>
      </c>
      <c r="J117" s="97"/>
      <c r="K117" s="97"/>
      <c r="L117" s="45" t="s">
        <v>70</v>
      </c>
      <c r="M117" s="45"/>
      <c r="N117" s="13"/>
      <c r="P117" s="11"/>
    </row>
    <row r="118" spans="2:16" ht="19.5" x14ac:dyDescent="0.2">
      <c r="B118" s="81"/>
      <c r="C118" s="125">
        <f t="shared" si="2"/>
        <v>45</v>
      </c>
      <c r="D118" s="121">
        <v>2.444</v>
      </c>
      <c r="E118" s="125">
        <f t="shared" si="0"/>
        <v>65</v>
      </c>
      <c r="F118" s="121">
        <v>1.077</v>
      </c>
      <c r="G118" s="125">
        <f t="shared" si="1"/>
        <v>85</v>
      </c>
      <c r="H118" s="122">
        <v>0.35299999999999998</v>
      </c>
      <c r="I118" s="80" t="s">
        <v>114</v>
      </c>
      <c r="J118" s="97"/>
      <c r="K118" s="97"/>
      <c r="L118" s="45" t="s">
        <v>68</v>
      </c>
      <c r="M118" s="45"/>
      <c r="N118" s="13"/>
      <c r="P118" s="11"/>
    </row>
    <row r="119" spans="2:16" x14ac:dyDescent="0.2">
      <c r="B119" s="81"/>
      <c r="C119" s="125">
        <f t="shared" si="2"/>
        <v>46</v>
      </c>
      <c r="D119" s="121">
        <v>2.3479999999999999</v>
      </c>
      <c r="E119" s="125">
        <f t="shared" si="0"/>
        <v>66</v>
      </c>
      <c r="F119" s="121">
        <v>1.03</v>
      </c>
      <c r="G119" s="125">
        <f t="shared" si="1"/>
        <v>86</v>
      </c>
      <c r="H119" s="122">
        <v>0.32600000000000001</v>
      </c>
      <c r="I119" s="81"/>
      <c r="J119" s="97"/>
      <c r="K119" s="97"/>
      <c r="L119" s="8" t="s">
        <v>69</v>
      </c>
      <c r="M119" s="8"/>
      <c r="N119" s="14"/>
      <c r="P119" s="11"/>
    </row>
    <row r="120" spans="2:16" ht="15" customHeight="1" x14ac:dyDescent="0.2">
      <c r="B120" s="81"/>
      <c r="C120" s="125">
        <f t="shared" si="2"/>
        <v>47</v>
      </c>
      <c r="D120" s="121">
        <v>2.2549999999999999</v>
      </c>
      <c r="E120" s="125">
        <f t="shared" si="0"/>
        <v>67</v>
      </c>
      <c r="F120" s="121">
        <v>0.98499999999999999</v>
      </c>
      <c r="G120" s="125">
        <f t="shared" si="1"/>
        <v>87</v>
      </c>
      <c r="H120" s="122">
        <v>0.29899999999999999</v>
      </c>
      <c r="I120" s="81"/>
      <c r="J120" s="97"/>
      <c r="K120" s="97"/>
      <c r="L120" s="78" t="s">
        <v>115</v>
      </c>
      <c r="M120" s="78"/>
      <c r="N120" s="31"/>
      <c r="P120" s="11"/>
    </row>
    <row r="121" spans="2:16" ht="15.75" customHeight="1" thickBot="1" x14ac:dyDescent="0.25">
      <c r="B121" s="81"/>
      <c r="C121" s="125">
        <f t="shared" si="2"/>
        <v>48</v>
      </c>
      <c r="D121" s="121">
        <v>2.1669999999999998</v>
      </c>
      <c r="E121" s="125">
        <f t="shared" si="0"/>
        <v>68</v>
      </c>
      <c r="F121" s="121">
        <v>0.94099999999999995</v>
      </c>
      <c r="G121" s="125">
        <f t="shared" si="1"/>
        <v>88</v>
      </c>
      <c r="H121" s="122">
        <v>0.27300000000000002</v>
      </c>
      <c r="I121" s="63"/>
      <c r="J121" s="83"/>
      <c r="K121" s="83"/>
      <c r="L121" s="83"/>
      <c r="M121" s="83"/>
      <c r="N121" s="20"/>
      <c r="P121" s="11"/>
    </row>
    <row r="122" spans="2:16" ht="19.5" customHeight="1" x14ac:dyDescent="0.2">
      <c r="B122" s="81"/>
      <c r="C122" s="125">
        <f t="shared" si="2"/>
        <v>49</v>
      </c>
      <c r="D122" s="121">
        <v>2.0819999999999999</v>
      </c>
      <c r="E122" s="125">
        <f t="shared" si="0"/>
        <v>69</v>
      </c>
      <c r="F122" s="121">
        <v>0.89900000000000002</v>
      </c>
      <c r="G122" s="125">
        <f t="shared" si="1"/>
        <v>89</v>
      </c>
      <c r="H122" s="122">
        <v>0.247</v>
      </c>
      <c r="I122" s="1218" t="s">
        <v>355</v>
      </c>
      <c r="J122" s="1219"/>
      <c r="K122" s="1219"/>
      <c r="L122" s="1219"/>
      <c r="M122" s="1219"/>
      <c r="N122" s="1220"/>
      <c r="P122" s="11"/>
    </row>
    <row r="123" spans="2:16" ht="18" customHeight="1" x14ac:dyDescent="0.2">
      <c r="B123" s="81"/>
      <c r="C123" s="125">
        <f t="shared" si="2"/>
        <v>50</v>
      </c>
      <c r="D123" s="121">
        <v>2</v>
      </c>
      <c r="E123" s="125">
        <f t="shared" si="0"/>
        <v>70</v>
      </c>
      <c r="F123" s="121">
        <v>0.85699999999999998</v>
      </c>
      <c r="G123" s="125">
        <f t="shared" si="1"/>
        <v>90</v>
      </c>
      <c r="H123" s="122">
        <v>0.222</v>
      </c>
      <c r="I123" s="1221"/>
      <c r="J123" s="1222"/>
      <c r="K123" s="1222"/>
      <c r="L123" s="1222"/>
      <c r="M123" s="1222"/>
      <c r="N123" s="1223"/>
      <c r="P123" s="11"/>
    </row>
    <row r="124" spans="2:16" ht="15.75" customHeight="1" thickBot="1" x14ac:dyDescent="0.25">
      <c r="B124" s="81"/>
      <c r="C124" s="125">
        <f t="shared" si="2"/>
        <v>51</v>
      </c>
      <c r="D124" s="121">
        <v>1.9219999999999999</v>
      </c>
      <c r="E124" s="125">
        <f t="shared" si="0"/>
        <v>71</v>
      </c>
      <c r="F124" s="121">
        <v>0.81699999999999995</v>
      </c>
      <c r="G124" s="125">
        <f t="shared" si="1"/>
        <v>91</v>
      </c>
      <c r="H124" s="122">
        <v>0.19800000000000001</v>
      </c>
      <c r="I124" s="1257"/>
      <c r="J124" s="1258"/>
      <c r="K124" s="1258"/>
      <c r="L124" s="1258"/>
      <c r="M124" s="1258"/>
      <c r="N124" s="1259"/>
      <c r="P124" s="11"/>
    </row>
    <row r="125" spans="2:16" ht="15" customHeight="1" x14ac:dyDescent="0.25">
      <c r="B125" s="81"/>
      <c r="C125" s="125">
        <f t="shared" si="2"/>
        <v>52</v>
      </c>
      <c r="D125" s="121">
        <v>1.8460000000000001</v>
      </c>
      <c r="E125" s="125">
        <f t="shared" si="0"/>
        <v>72</v>
      </c>
      <c r="F125" s="121">
        <v>0.77800000000000002</v>
      </c>
      <c r="G125" s="125">
        <f t="shared" si="1"/>
        <v>92</v>
      </c>
      <c r="H125" s="122">
        <v>0.17399999999999999</v>
      </c>
      <c r="I125" s="79" t="s">
        <v>117</v>
      </c>
      <c r="J125" s="97"/>
      <c r="K125" s="97"/>
      <c r="L125" s="97"/>
      <c r="M125" s="97"/>
      <c r="N125" s="86" t="s">
        <v>82</v>
      </c>
      <c r="P125" s="11"/>
    </row>
    <row r="126" spans="2:16" x14ac:dyDescent="0.2">
      <c r="B126" s="81"/>
      <c r="C126" s="125">
        <f t="shared" si="2"/>
        <v>53</v>
      </c>
      <c r="D126" s="121">
        <v>1.774</v>
      </c>
      <c r="E126" s="125">
        <f t="shared" si="0"/>
        <v>73</v>
      </c>
      <c r="F126" s="121">
        <v>0.74</v>
      </c>
      <c r="G126" s="125">
        <f t="shared" si="1"/>
        <v>93</v>
      </c>
      <c r="H126" s="122">
        <v>0.151</v>
      </c>
      <c r="I126" s="81" t="s">
        <v>118</v>
      </c>
      <c r="J126" s="97"/>
      <c r="K126" s="97"/>
      <c r="L126" s="97"/>
      <c r="M126" s="97"/>
      <c r="N126" s="247">
        <v>1.6E-2</v>
      </c>
      <c r="P126" s="11"/>
    </row>
    <row r="127" spans="2:16" ht="15" customHeight="1" x14ac:dyDescent="0.2">
      <c r="B127" s="81"/>
      <c r="C127" s="125">
        <f t="shared" si="2"/>
        <v>54</v>
      </c>
      <c r="D127" s="121">
        <v>1.704</v>
      </c>
      <c r="E127" s="125">
        <f t="shared" si="0"/>
        <v>74</v>
      </c>
      <c r="F127" s="121">
        <v>0.70299999999999996</v>
      </c>
      <c r="G127" s="125">
        <f t="shared" si="1"/>
        <v>94</v>
      </c>
      <c r="H127" s="122">
        <v>0.128</v>
      </c>
      <c r="I127" s="81" t="s">
        <v>119</v>
      </c>
      <c r="J127" s="97"/>
      <c r="K127" s="97"/>
      <c r="L127" s="97"/>
      <c r="M127" s="97"/>
      <c r="N127" s="247">
        <v>1.2E-2</v>
      </c>
      <c r="P127" s="11"/>
    </row>
    <row r="128" spans="2:16" ht="15" customHeight="1" x14ac:dyDescent="0.2">
      <c r="B128" s="81"/>
      <c r="C128" s="125">
        <f t="shared" si="2"/>
        <v>55</v>
      </c>
      <c r="D128" s="121">
        <v>1.6359999999999999</v>
      </c>
      <c r="E128" s="125">
        <f t="shared" si="0"/>
        <v>75</v>
      </c>
      <c r="F128" s="121">
        <v>0.66700000000000004</v>
      </c>
      <c r="G128" s="125">
        <f t="shared" si="1"/>
        <v>95</v>
      </c>
      <c r="H128" s="122">
        <v>0.105</v>
      </c>
      <c r="I128" s="81" t="s">
        <v>120</v>
      </c>
      <c r="J128" s="97"/>
      <c r="K128" s="97"/>
      <c r="L128" s="97"/>
      <c r="M128" s="97"/>
      <c r="N128" s="247">
        <v>1.4E-2</v>
      </c>
      <c r="P128" s="11"/>
    </row>
    <row r="129" spans="2:16" x14ac:dyDescent="0.2">
      <c r="B129" s="81"/>
      <c r="C129" s="125">
        <f t="shared" si="2"/>
        <v>56</v>
      </c>
      <c r="D129" s="121">
        <v>1.571</v>
      </c>
      <c r="E129" s="125">
        <f t="shared" si="0"/>
        <v>76</v>
      </c>
      <c r="F129" s="121">
        <v>0.63200000000000001</v>
      </c>
      <c r="G129" s="125">
        <f t="shared" si="1"/>
        <v>96</v>
      </c>
      <c r="H129" s="122">
        <v>8.3000000000000004E-2</v>
      </c>
      <c r="I129" s="81" t="s">
        <v>83</v>
      </c>
      <c r="J129" s="97"/>
      <c r="K129" s="97"/>
      <c r="L129" s="97"/>
      <c r="M129" s="97"/>
      <c r="N129" s="247">
        <v>3.5000000000000003E-2</v>
      </c>
      <c r="P129" s="11"/>
    </row>
    <row r="130" spans="2:16" x14ac:dyDescent="0.2">
      <c r="B130" s="81"/>
      <c r="C130" s="125">
        <f t="shared" si="2"/>
        <v>57</v>
      </c>
      <c r="D130" s="121">
        <v>1.5089999999999999</v>
      </c>
      <c r="E130" s="125">
        <f t="shared" si="0"/>
        <v>77</v>
      </c>
      <c r="F130" s="121">
        <v>0.59699999999999998</v>
      </c>
      <c r="G130" s="125">
        <f t="shared" si="1"/>
        <v>97</v>
      </c>
      <c r="H130" s="122">
        <v>6.2E-2</v>
      </c>
      <c r="I130" s="81" t="s">
        <v>122</v>
      </c>
      <c r="J130" s="97"/>
      <c r="K130" s="97"/>
      <c r="L130" s="97"/>
      <c r="M130" s="97"/>
      <c r="N130" s="247">
        <v>3.3000000000000002E-2</v>
      </c>
      <c r="P130" s="11"/>
    </row>
    <row r="131" spans="2:16" ht="15.75" customHeight="1" thickBot="1" x14ac:dyDescent="0.25">
      <c r="B131" s="81"/>
      <c r="C131" s="125">
        <f t="shared" si="2"/>
        <v>58</v>
      </c>
      <c r="D131" s="121">
        <v>1.448</v>
      </c>
      <c r="E131" s="125">
        <f t="shared" si="0"/>
        <v>78</v>
      </c>
      <c r="F131" s="121">
        <v>0.56399999999999995</v>
      </c>
      <c r="G131" s="125">
        <f t="shared" si="1"/>
        <v>98</v>
      </c>
      <c r="H131" s="122">
        <v>4.1000000000000002E-2</v>
      </c>
      <c r="I131" s="82" t="s">
        <v>121</v>
      </c>
      <c r="J131" s="83"/>
      <c r="K131" s="83"/>
      <c r="L131" s="83"/>
      <c r="M131" s="83"/>
      <c r="N131" s="85">
        <v>0.04</v>
      </c>
      <c r="P131" s="11"/>
    </row>
    <row r="132" spans="2:16" ht="15" customHeight="1" thickBot="1" x14ac:dyDescent="0.25">
      <c r="B132" s="81"/>
      <c r="C132" s="126">
        <f t="shared" si="2"/>
        <v>59</v>
      </c>
      <c r="D132" s="123">
        <v>1.39</v>
      </c>
      <c r="E132" s="126">
        <f t="shared" si="0"/>
        <v>79</v>
      </c>
      <c r="F132" s="123">
        <v>0.53200000000000003</v>
      </c>
      <c r="G132" s="126"/>
      <c r="H132" s="124"/>
      <c r="I132" s="97"/>
      <c r="J132" s="97"/>
      <c r="K132" s="97"/>
      <c r="L132" s="97"/>
      <c r="M132" s="97"/>
      <c r="N132" s="97"/>
      <c r="P132" s="11"/>
    </row>
    <row r="133" spans="2:16" ht="15.75" customHeight="1" thickBot="1" x14ac:dyDescent="0.25">
      <c r="B133" s="81"/>
      <c r="C133" s="246"/>
      <c r="D133" s="53"/>
      <c r="E133" s="246"/>
      <c r="F133" s="53"/>
      <c r="G133" s="246"/>
      <c r="H133" s="54"/>
      <c r="I133" s="97"/>
      <c r="J133" s="97"/>
      <c r="K133" s="97"/>
      <c r="L133" s="97"/>
      <c r="M133" s="97"/>
      <c r="N133" s="97"/>
      <c r="P133" s="11"/>
    </row>
    <row r="134" spans="2:16" ht="18" customHeight="1" thickBot="1" x14ac:dyDescent="0.25">
      <c r="B134" s="81"/>
      <c r="C134" s="132"/>
      <c r="D134" s="132"/>
      <c r="E134" s="132"/>
      <c r="F134" s="132"/>
      <c r="G134" s="132"/>
      <c r="H134" s="132"/>
      <c r="I134" s="97"/>
      <c r="J134" s="1260" t="s">
        <v>215</v>
      </c>
      <c r="K134" s="1261"/>
      <c r="L134" s="1261"/>
      <c r="M134" s="1262"/>
      <c r="N134" s="97"/>
      <c r="P134" s="11"/>
    </row>
    <row r="135" spans="2:16" x14ac:dyDescent="0.2">
      <c r="B135" s="81"/>
      <c r="C135" s="1197" t="s">
        <v>161</v>
      </c>
      <c r="D135" s="1198"/>
      <c r="E135" s="1198"/>
      <c r="F135" s="1198"/>
      <c r="G135" s="1198"/>
      <c r="H135" s="1199"/>
      <c r="I135" s="97"/>
      <c r="J135" s="1263"/>
      <c r="K135" s="1264"/>
      <c r="L135" s="1264"/>
      <c r="M135" s="1265"/>
      <c r="N135" s="97"/>
      <c r="P135" s="11"/>
    </row>
    <row r="136" spans="2:16" ht="15" customHeight="1" thickBot="1" x14ac:dyDescent="0.25">
      <c r="B136" s="81"/>
      <c r="C136" s="1200"/>
      <c r="D136" s="1201"/>
      <c r="E136" s="1201"/>
      <c r="F136" s="1201"/>
      <c r="G136" s="1201"/>
      <c r="H136" s="1202"/>
      <c r="I136" s="97"/>
      <c r="J136" s="1263"/>
      <c r="K136" s="1264"/>
      <c r="L136" s="1264"/>
      <c r="M136" s="1265"/>
      <c r="N136" s="97"/>
      <c r="P136" s="11"/>
    </row>
    <row r="137" spans="2:16" x14ac:dyDescent="0.2">
      <c r="B137" s="81"/>
      <c r="C137" s="1203"/>
      <c r="D137" s="1204"/>
      <c r="E137" s="1204"/>
      <c r="F137" s="1204"/>
      <c r="G137" s="1204"/>
      <c r="H137" s="1205"/>
      <c r="I137" s="97"/>
      <c r="J137" s="1278" t="s">
        <v>207</v>
      </c>
      <c r="K137" s="1279"/>
      <c r="L137" s="96" t="s">
        <v>54</v>
      </c>
      <c r="M137" s="98" t="s">
        <v>217</v>
      </c>
      <c r="N137" s="97"/>
      <c r="P137" s="11"/>
    </row>
    <row r="138" spans="2:16" ht="19.5" x14ac:dyDescent="0.2">
      <c r="B138" s="81"/>
      <c r="C138" s="1206" t="s">
        <v>227</v>
      </c>
      <c r="D138" s="833"/>
      <c r="E138" s="833"/>
      <c r="F138" s="833"/>
      <c r="G138" s="833"/>
      <c r="H138" s="1207"/>
      <c r="I138" s="97"/>
      <c r="J138" s="594" t="s">
        <v>521</v>
      </c>
      <c r="K138" s="593"/>
      <c r="L138" s="100">
        <v>0.85</v>
      </c>
      <c r="M138" s="101">
        <v>0.35</v>
      </c>
      <c r="N138" s="97"/>
      <c r="P138" s="11"/>
    </row>
    <row r="139" spans="2:16" x14ac:dyDescent="0.2">
      <c r="B139" s="81"/>
      <c r="C139" s="1206" t="s">
        <v>33</v>
      </c>
      <c r="D139" s="833"/>
      <c r="E139" s="833"/>
      <c r="F139" s="833"/>
      <c r="G139" s="833"/>
      <c r="H139" s="1207"/>
      <c r="I139" s="97"/>
      <c r="J139" s="594" t="s">
        <v>520</v>
      </c>
      <c r="K139" s="593"/>
      <c r="L139" s="100">
        <v>0.85</v>
      </c>
      <c r="M139" s="101">
        <v>0.4</v>
      </c>
      <c r="N139" s="97"/>
      <c r="P139" s="11"/>
    </row>
    <row r="140" spans="2:16" ht="19.5" x14ac:dyDescent="0.2">
      <c r="B140" s="81"/>
      <c r="C140" s="1206" t="s">
        <v>228</v>
      </c>
      <c r="D140" s="833"/>
      <c r="E140" s="833"/>
      <c r="F140" s="833"/>
      <c r="G140" s="833"/>
      <c r="H140" s="1207"/>
      <c r="I140" s="97"/>
      <c r="J140" s="594" t="s">
        <v>208</v>
      </c>
      <c r="K140" s="593"/>
      <c r="L140" s="100">
        <v>0.85</v>
      </c>
      <c r="M140" s="101">
        <v>0.4</v>
      </c>
      <c r="N140" s="97"/>
      <c r="P140" s="11"/>
    </row>
    <row r="141" spans="2:16" ht="19.5" x14ac:dyDescent="0.2">
      <c r="B141" s="81"/>
      <c r="C141" s="1206" t="s">
        <v>224</v>
      </c>
      <c r="D141" s="833"/>
      <c r="E141" s="833"/>
      <c r="F141" s="833"/>
      <c r="G141" s="833"/>
      <c r="H141" s="1207"/>
      <c r="I141" s="97"/>
      <c r="J141" s="594" t="s">
        <v>51</v>
      </c>
      <c r="K141" s="593"/>
      <c r="L141" s="100">
        <v>0.85</v>
      </c>
      <c r="M141" s="101">
        <v>0.25</v>
      </c>
      <c r="N141" s="97"/>
      <c r="P141" s="11"/>
    </row>
    <row r="142" spans="2:16" ht="19.5" x14ac:dyDescent="0.2">
      <c r="B142" s="81"/>
      <c r="C142" s="1206" t="s">
        <v>162</v>
      </c>
      <c r="D142" s="833"/>
      <c r="E142" s="833"/>
      <c r="F142" s="833"/>
      <c r="G142" s="833"/>
      <c r="H142" s="1207"/>
      <c r="I142" s="97"/>
      <c r="J142" s="104" t="s">
        <v>209</v>
      </c>
      <c r="K142" s="99"/>
      <c r="L142" s="100">
        <v>0.85</v>
      </c>
      <c r="M142" s="101">
        <v>0.35</v>
      </c>
      <c r="N142" s="97"/>
      <c r="P142" s="11"/>
    </row>
    <row r="143" spans="2:16" x14ac:dyDescent="0.2">
      <c r="B143" s="81"/>
      <c r="C143" s="1227" t="s">
        <v>163</v>
      </c>
      <c r="D143" s="1228"/>
      <c r="E143" s="1228"/>
      <c r="F143" s="1228"/>
      <c r="G143" s="1228"/>
      <c r="H143" s="1229"/>
      <c r="I143" s="97"/>
      <c r="J143" s="104" t="s">
        <v>210</v>
      </c>
      <c r="K143" s="99"/>
      <c r="L143" s="100" t="s">
        <v>214</v>
      </c>
      <c r="M143" s="101">
        <v>0.2</v>
      </c>
      <c r="N143" s="97"/>
      <c r="P143" s="11"/>
    </row>
    <row r="144" spans="2:16" ht="15.75" thickBot="1" x14ac:dyDescent="0.25">
      <c r="B144" s="81"/>
      <c r="C144" s="1194"/>
      <c r="D144" s="1195"/>
      <c r="E144" s="1195"/>
      <c r="F144" s="1195"/>
      <c r="G144" s="1195"/>
      <c r="H144" s="1196"/>
      <c r="I144" s="97"/>
      <c r="J144" s="104" t="s">
        <v>52</v>
      </c>
      <c r="K144" s="99"/>
      <c r="L144" s="100">
        <v>0.35</v>
      </c>
      <c r="M144" s="101">
        <v>0.2</v>
      </c>
      <c r="N144" s="97"/>
      <c r="P144" s="11"/>
    </row>
    <row r="145" spans="1:38" x14ac:dyDescent="0.2">
      <c r="B145" s="81"/>
      <c r="C145" s="130"/>
      <c r="D145" s="130"/>
      <c r="E145" s="97"/>
      <c r="F145" s="97"/>
      <c r="G145" s="97"/>
      <c r="H145" s="97"/>
      <c r="I145" s="97"/>
      <c r="J145" s="104" t="s">
        <v>211</v>
      </c>
      <c r="K145" s="99"/>
      <c r="L145" s="100">
        <v>0.6</v>
      </c>
      <c r="M145" s="101">
        <v>0.3</v>
      </c>
      <c r="N145" s="97"/>
      <c r="P145" s="11"/>
    </row>
    <row r="146" spans="1:38" x14ac:dyDescent="0.2">
      <c r="B146" s="81"/>
      <c r="C146" s="97"/>
      <c r="D146" s="97"/>
      <c r="E146" s="97"/>
      <c r="F146" s="97"/>
      <c r="G146" s="97"/>
      <c r="H146" s="97"/>
      <c r="I146" s="97"/>
      <c r="J146" s="104" t="s">
        <v>212</v>
      </c>
      <c r="K146" s="99"/>
      <c r="L146" s="100">
        <v>0.85</v>
      </c>
      <c r="M146" s="101">
        <v>0.3</v>
      </c>
      <c r="N146" s="97"/>
      <c r="P146" s="11"/>
    </row>
    <row r="147" spans="1:38" ht="15.75" customHeight="1" x14ac:dyDescent="0.2">
      <c r="B147" s="81"/>
      <c r="C147" s="97"/>
      <c r="D147" s="97"/>
      <c r="E147" s="97"/>
      <c r="F147" s="97"/>
      <c r="G147" s="97"/>
      <c r="H147" s="97"/>
      <c r="I147" s="97"/>
      <c r="J147" s="104" t="s">
        <v>213</v>
      </c>
      <c r="K147" s="99"/>
      <c r="L147" s="100">
        <v>0.5</v>
      </c>
      <c r="M147" s="101">
        <v>0.1</v>
      </c>
      <c r="N147" s="97"/>
      <c r="P147" s="11"/>
    </row>
    <row r="148" spans="1:38" x14ac:dyDescent="0.2">
      <c r="B148" s="81"/>
      <c r="C148" s="97"/>
      <c r="D148" s="97"/>
      <c r="E148" s="97"/>
      <c r="F148" s="97"/>
      <c r="G148" s="97"/>
      <c r="H148" s="97"/>
      <c r="I148" s="97"/>
      <c r="J148" s="104" t="s">
        <v>53</v>
      </c>
      <c r="K148" s="99"/>
      <c r="L148" s="100">
        <v>0</v>
      </c>
      <c r="M148" s="101">
        <v>0</v>
      </c>
      <c r="N148" s="97"/>
      <c r="P148" s="11"/>
      <c r="R148" s="10"/>
    </row>
    <row r="149" spans="1:38" ht="24" customHeight="1" x14ac:dyDescent="0.2">
      <c r="B149" s="81"/>
      <c r="C149" s="97"/>
      <c r="D149" s="97"/>
      <c r="E149" s="97"/>
      <c r="F149" s="97"/>
      <c r="G149" s="97"/>
      <c r="H149" s="97"/>
      <c r="I149" s="97"/>
      <c r="J149" s="1192" t="s">
        <v>580</v>
      </c>
      <c r="K149" s="1193"/>
      <c r="L149" s="100">
        <v>0</v>
      </c>
      <c r="M149" s="101">
        <v>0</v>
      </c>
      <c r="N149" s="97"/>
      <c r="P149" s="11"/>
    </row>
    <row r="150" spans="1:38" s="481" customFormat="1" ht="15" customHeight="1" thickBot="1" x14ac:dyDescent="0.25">
      <c r="A150" s="488"/>
      <c r="B150" s="496"/>
      <c r="C150" s="488"/>
      <c r="D150" s="488"/>
      <c r="E150" s="488"/>
      <c r="F150" s="488"/>
      <c r="G150" s="488"/>
      <c r="H150" s="488"/>
      <c r="I150" s="488"/>
      <c r="J150" s="595" t="s">
        <v>564</v>
      </c>
      <c r="K150" s="596"/>
      <c r="L150" s="102" t="s">
        <v>581</v>
      </c>
      <c r="M150" s="103">
        <v>1</v>
      </c>
      <c r="N150" s="488"/>
      <c r="O150" s="488"/>
      <c r="P150" s="489"/>
      <c r="Q150" s="488"/>
      <c r="R150" s="488"/>
      <c r="S150" s="488"/>
      <c r="T150" s="488"/>
      <c r="U150" s="488"/>
      <c r="V150" s="488"/>
      <c r="W150" s="488"/>
      <c r="X150" s="488"/>
      <c r="Y150" s="488"/>
      <c r="Z150" s="488"/>
      <c r="AA150" s="488"/>
      <c r="AB150" s="488"/>
      <c r="AC150" s="488"/>
      <c r="AD150" s="488"/>
      <c r="AE150" s="488"/>
      <c r="AF150" s="488"/>
      <c r="AG150" s="488"/>
      <c r="AH150" s="488"/>
      <c r="AI150" s="488"/>
      <c r="AJ150" s="488"/>
      <c r="AK150" s="488"/>
      <c r="AL150" s="488"/>
    </row>
    <row r="151" spans="1:38" ht="35.1" customHeight="1" x14ac:dyDescent="0.2">
      <c r="B151" s="81"/>
      <c r="C151" s="97"/>
      <c r="D151" s="97"/>
      <c r="E151" s="97"/>
      <c r="F151" s="97"/>
      <c r="G151" s="97"/>
      <c r="H151" s="97"/>
      <c r="I151" s="97"/>
      <c r="J151" s="1190" t="s">
        <v>566</v>
      </c>
      <c r="K151" s="1190"/>
      <c r="L151" s="1190"/>
      <c r="M151" s="1190"/>
      <c r="N151" s="488"/>
      <c r="O151" s="488"/>
      <c r="P151" s="11"/>
    </row>
    <row r="152" spans="1:38" s="95" customFormat="1" ht="43.5" customHeight="1" thickBot="1" x14ac:dyDescent="0.25">
      <c r="B152" s="82"/>
      <c r="C152" s="83"/>
      <c r="D152" s="83"/>
      <c r="E152" s="83"/>
      <c r="F152" s="83"/>
      <c r="G152" s="83"/>
      <c r="H152" s="83"/>
      <c r="I152" s="83"/>
      <c r="J152" s="1191"/>
      <c r="K152" s="1191"/>
      <c r="L152" s="1191"/>
      <c r="M152" s="1191"/>
      <c r="N152" s="83"/>
      <c r="O152" s="83"/>
      <c r="P152" s="20"/>
    </row>
    <row r="153" spans="1:38" s="95" customFormat="1" x14ac:dyDescent="0.2">
      <c r="B153" s="97"/>
      <c r="I153" s="97"/>
      <c r="J153" s="97"/>
      <c r="K153" s="97"/>
      <c r="L153" s="97"/>
      <c r="M153" s="97"/>
    </row>
    <row r="154" spans="1:38" s="95" customFormat="1" x14ac:dyDescent="0.2">
      <c r="I154" s="97"/>
      <c r="J154" s="97"/>
      <c r="K154" s="97"/>
    </row>
    <row r="155" spans="1:38" s="95" customFormat="1" x14ac:dyDescent="0.2">
      <c r="I155" s="97"/>
      <c r="J155" s="97"/>
      <c r="K155" s="97"/>
    </row>
    <row r="156" spans="1:38" s="97" customFormat="1" x14ac:dyDescent="0.2">
      <c r="L156" s="95"/>
      <c r="M156" s="95"/>
    </row>
    <row r="157" spans="1:38" s="97" customFormat="1" x14ac:dyDescent="0.2"/>
    <row r="158" spans="1:38" s="97" customFormat="1" x14ac:dyDescent="0.2"/>
    <row r="159" spans="1:38" s="97" customFormat="1" x14ac:dyDescent="0.2"/>
    <row r="160" spans="1:38" s="97" customFormat="1" x14ac:dyDescent="0.2"/>
    <row r="161" spans="7:7" s="97" customFormat="1" x14ac:dyDescent="0.2"/>
    <row r="162" spans="7:7" s="97" customFormat="1" x14ac:dyDescent="0.2"/>
    <row r="163" spans="7:7" s="97" customFormat="1" x14ac:dyDescent="0.2"/>
    <row r="164" spans="7:7" s="97" customFormat="1" x14ac:dyDescent="0.2">
      <c r="G164" s="408"/>
    </row>
    <row r="165" spans="7:7" s="97" customFormat="1" x14ac:dyDescent="0.2"/>
    <row r="166" spans="7:7" s="97" customFormat="1" x14ac:dyDescent="0.2"/>
    <row r="167" spans="7:7" s="97" customFormat="1" x14ac:dyDescent="0.2"/>
    <row r="168" spans="7:7" s="97" customFormat="1" x14ac:dyDescent="0.2"/>
    <row r="169" spans="7:7" s="97" customFormat="1" x14ac:dyDescent="0.2"/>
    <row r="170" spans="7:7" s="97" customFormat="1" x14ac:dyDescent="0.2"/>
    <row r="171" spans="7:7" s="97" customFormat="1" x14ac:dyDescent="0.2"/>
    <row r="172" spans="7:7" s="97" customFormat="1" x14ac:dyDescent="0.2"/>
    <row r="173" spans="7:7" s="97" customFormat="1" x14ac:dyDescent="0.2"/>
    <row r="174" spans="7:7" s="97" customFormat="1" x14ac:dyDescent="0.2"/>
    <row r="175" spans="7:7" s="97" customFormat="1" x14ac:dyDescent="0.2"/>
    <row r="176" spans="7:7" s="97" customFormat="1" x14ac:dyDescent="0.2"/>
    <row r="177" s="97" customFormat="1" x14ac:dyDescent="0.2"/>
    <row r="178" s="97" customFormat="1" x14ac:dyDescent="0.2"/>
    <row r="179" s="97" customFormat="1" x14ac:dyDescent="0.2"/>
    <row r="180" s="97" customFormat="1" x14ac:dyDescent="0.2"/>
    <row r="181" s="97" customFormat="1" x14ac:dyDescent="0.2"/>
    <row r="182" s="97" customFormat="1" x14ac:dyDescent="0.2"/>
    <row r="183" s="97" customFormat="1" x14ac:dyDescent="0.2"/>
    <row r="184" s="97" customFormat="1" x14ac:dyDescent="0.2"/>
    <row r="185" s="97" customFormat="1" x14ac:dyDescent="0.2"/>
    <row r="186" s="97" customFormat="1" x14ac:dyDescent="0.2"/>
    <row r="187" s="97" customFormat="1" x14ac:dyDescent="0.2"/>
    <row r="188" s="97" customFormat="1" x14ac:dyDescent="0.2"/>
    <row r="189" s="97" customFormat="1" x14ac:dyDescent="0.2"/>
    <row r="190" s="97" customFormat="1" x14ac:dyDescent="0.2"/>
    <row r="191" s="97" customFormat="1" x14ac:dyDescent="0.2"/>
    <row r="192" s="97" customFormat="1" x14ac:dyDescent="0.2"/>
    <row r="193" s="97" customFormat="1" x14ac:dyDescent="0.2"/>
    <row r="194" s="97" customFormat="1" x14ac:dyDescent="0.2"/>
    <row r="195" s="97" customFormat="1" x14ac:dyDescent="0.2"/>
    <row r="196" s="97" customFormat="1" x14ac:dyDescent="0.2"/>
    <row r="197" s="97" customFormat="1" x14ac:dyDescent="0.2"/>
    <row r="198" s="97" customFormat="1" x14ac:dyDescent="0.2"/>
    <row r="199" s="97" customFormat="1" x14ac:dyDescent="0.2"/>
    <row r="200" s="97" customFormat="1" x14ac:dyDescent="0.2"/>
    <row r="201" s="97" customFormat="1" x14ac:dyDescent="0.2"/>
    <row r="202" s="97" customFormat="1" x14ac:dyDescent="0.2"/>
    <row r="203" s="97" customFormat="1" x14ac:dyDescent="0.2"/>
    <row r="204" s="97" customFormat="1" x14ac:dyDescent="0.2"/>
    <row r="205" s="97" customFormat="1" x14ac:dyDescent="0.2"/>
    <row r="206" s="97" customFormat="1" x14ac:dyDescent="0.2"/>
    <row r="207" s="97" customFormat="1" x14ac:dyDescent="0.2"/>
    <row r="208" s="97" customFormat="1" x14ac:dyDescent="0.2"/>
    <row r="209" s="97" customFormat="1" x14ac:dyDescent="0.2"/>
    <row r="210" s="97" customFormat="1" x14ac:dyDescent="0.2"/>
    <row r="211" s="97" customFormat="1" x14ac:dyDescent="0.2"/>
    <row r="212" s="97" customFormat="1" x14ac:dyDescent="0.2"/>
    <row r="213" s="97" customFormat="1" x14ac:dyDescent="0.2"/>
    <row r="214" s="97" customFormat="1" x14ac:dyDescent="0.2"/>
    <row r="215" s="97" customFormat="1" x14ac:dyDescent="0.2"/>
    <row r="216" s="97" customFormat="1" x14ac:dyDescent="0.2"/>
    <row r="217" s="97" customFormat="1" x14ac:dyDescent="0.2"/>
    <row r="218" s="97" customFormat="1" x14ac:dyDescent="0.2"/>
    <row r="219" s="97" customFormat="1" x14ac:dyDescent="0.2"/>
    <row r="220" s="97" customFormat="1" x14ac:dyDescent="0.2"/>
    <row r="221" s="97" customFormat="1" x14ac:dyDescent="0.2"/>
    <row r="222" s="97" customFormat="1" x14ac:dyDescent="0.2"/>
    <row r="223" s="97" customFormat="1" x14ac:dyDescent="0.2"/>
    <row r="224" s="97" customFormat="1" x14ac:dyDescent="0.2"/>
    <row r="225" s="97" customFormat="1" x14ac:dyDescent="0.2"/>
    <row r="226" s="97" customFormat="1" x14ac:dyDescent="0.2"/>
    <row r="227" s="97" customFormat="1" x14ac:dyDescent="0.2"/>
    <row r="228" s="97" customFormat="1" x14ac:dyDescent="0.2"/>
    <row r="229" s="97" customFormat="1" x14ac:dyDescent="0.2"/>
    <row r="230" s="97" customFormat="1" x14ac:dyDescent="0.2"/>
    <row r="231" s="97" customFormat="1" x14ac:dyDescent="0.2"/>
    <row r="232" s="97" customFormat="1" x14ac:dyDescent="0.2"/>
    <row r="233" s="97" customFormat="1" x14ac:dyDescent="0.2"/>
    <row r="234" s="97" customFormat="1" x14ac:dyDescent="0.2"/>
    <row r="235" s="97" customFormat="1" x14ac:dyDescent="0.2"/>
    <row r="236" s="97" customFormat="1" x14ac:dyDescent="0.2"/>
    <row r="237" s="97" customFormat="1" x14ac:dyDescent="0.2"/>
    <row r="238" s="97" customFormat="1" x14ac:dyDescent="0.2"/>
    <row r="239" s="97" customFormat="1" x14ac:dyDescent="0.2"/>
    <row r="240" s="97" customFormat="1" x14ac:dyDescent="0.2"/>
    <row r="241" s="97" customFormat="1" x14ac:dyDescent="0.2"/>
    <row r="242" s="97" customFormat="1" x14ac:dyDescent="0.2"/>
    <row r="243" s="97" customFormat="1" x14ac:dyDescent="0.2"/>
    <row r="244" s="97" customFormat="1" x14ac:dyDescent="0.2"/>
    <row r="245" s="97" customFormat="1" x14ac:dyDescent="0.2"/>
    <row r="246" s="97" customFormat="1" x14ac:dyDescent="0.2"/>
    <row r="247" s="97" customFormat="1" x14ac:dyDescent="0.2"/>
    <row r="248" s="97" customFormat="1" x14ac:dyDescent="0.2"/>
    <row r="249" s="97" customFormat="1" x14ac:dyDescent="0.2"/>
    <row r="250" s="97" customFormat="1" x14ac:dyDescent="0.2"/>
    <row r="251" s="97" customFormat="1" x14ac:dyDescent="0.2"/>
    <row r="252" s="97" customFormat="1" x14ac:dyDescent="0.2"/>
    <row r="253" s="97" customFormat="1" x14ac:dyDescent="0.2"/>
    <row r="254" s="97" customFormat="1" x14ac:dyDescent="0.2"/>
    <row r="255" s="97" customFormat="1" x14ac:dyDescent="0.2"/>
    <row r="256" s="97" customFormat="1" x14ac:dyDescent="0.2"/>
    <row r="257" spans="10:13" s="97" customFormat="1" x14ac:dyDescent="0.2"/>
    <row r="258" spans="10:13" s="97" customFormat="1" x14ac:dyDescent="0.2"/>
    <row r="259" spans="10:13" s="97" customFormat="1" x14ac:dyDescent="0.2"/>
    <row r="260" spans="10:13" s="97" customFormat="1" x14ac:dyDescent="0.2"/>
    <row r="261" spans="10:13" s="97" customFormat="1" x14ac:dyDescent="0.2"/>
    <row r="262" spans="10:13" s="97" customFormat="1" x14ac:dyDescent="0.2"/>
    <row r="263" spans="10:13" s="97" customFormat="1" x14ac:dyDescent="0.2"/>
    <row r="264" spans="10:13" s="97" customFormat="1" x14ac:dyDescent="0.2"/>
    <row r="265" spans="10:13" s="97" customFormat="1" x14ac:dyDescent="0.2"/>
    <row r="266" spans="10:13" s="97" customFormat="1" x14ac:dyDescent="0.2"/>
    <row r="267" spans="10:13" s="97" customFormat="1" x14ac:dyDescent="0.2"/>
    <row r="268" spans="10:13" s="97" customFormat="1" x14ac:dyDescent="0.2"/>
    <row r="269" spans="10:13" s="97" customFormat="1" x14ac:dyDescent="0.2"/>
    <row r="270" spans="10:13" s="97" customFormat="1" x14ac:dyDescent="0.2"/>
    <row r="271" spans="10:13" s="97" customFormat="1" x14ac:dyDescent="0.2"/>
    <row r="272" spans="10:13" x14ac:dyDescent="0.2">
      <c r="J272" s="97"/>
      <c r="K272" s="97"/>
      <c r="L272" s="97"/>
      <c r="M272" s="97"/>
    </row>
  </sheetData>
  <sheetProtection password="E421" sheet="1" objects="1" scenarios="1"/>
  <mergeCells count="119">
    <mergeCell ref="K63:N63"/>
    <mergeCell ref="K16:L16"/>
    <mergeCell ref="M19:N19"/>
    <mergeCell ref="M20:N20"/>
    <mergeCell ref="D19:F19"/>
    <mergeCell ref="D5:N5"/>
    <mergeCell ref="D6:N6"/>
    <mergeCell ref="M7:N7"/>
    <mergeCell ref="M8:N8"/>
    <mergeCell ref="D8:F8"/>
    <mergeCell ref="M16:N16"/>
    <mergeCell ref="D14:F14"/>
    <mergeCell ref="G8:H8"/>
    <mergeCell ref="I8:J8"/>
    <mergeCell ref="K8:L8"/>
    <mergeCell ref="G7:H7"/>
    <mergeCell ref="I7:J7"/>
    <mergeCell ref="K7:L7"/>
    <mergeCell ref="K18:L18"/>
    <mergeCell ref="D23:F23"/>
    <mergeCell ref="K22:L22"/>
    <mergeCell ref="C61:J61"/>
    <mergeCell ref="C60:J60"/>
    <mergeCell ref="K20:L20"/>
    <mergeCell ref="C142:H142"/>
    <mergeCell ref="C140:H140"/>
    <mergeCell ref="C141:H141"/>
    <mergeCell ref="M9:N9"/>
    <mergeCell ref="D9:F9"/>
    <mergeCell ref="D10:F10"/>
    <mergeCell ref="G23:H23"/>
    <mergeCell ref="I19:J19"/>
    <mergeCell ref="I20:J20"/>
    <mergeCell ref="I22:J22"/>
    <mergeCell ref="M22:N22"/>
    <mergeCell ref="D13:N13"/>
    <mergeCell ref="D15:F15"/>
    <mergeCell ref="D16:F16"/>
    <mergeCell ref="G15:H15"/>
    <mergeCell ref="G16:H16"/>
    <mergeCell ref="I15:J15"/>
    <mergeCell ref="K15:L15"/>
    <mergeCell ref="M15:N15"/>
    <mergeCell ref="I16:J16"/>
    <mergeCell ref="C64:J64"/>
    <mergeCell ref="C63:J63"/>
    <mergeCell ref="K10:L10"/>
    <mergeCell ref="G9:H9"/>
    <mergeCell ref="C65:J65"/>
    <mergeCell ref="G22:H22"/>
    <mergeCell ref="K23:L23"/>
    <mergeCell ref="C139:H139"/>
    <mergeCell ref="C109:H111"/>
    <mergeCell ref="I122:N124"/>
    <mergeCell ref="J134:M136"/>
    <mergeCell ref="F36:L36"/>
    <mergeCell ref="F38:L38"/>
    <mergeCell ref="F39:L39"/>
    <mergeCell ref="C76:N76"/>
    <mergeCell ref="C66:J66"/>
    <mergeCell ref="J137:K137"/>
    <mergeCell ref="F47:L47"/>
    <mergeCell ref="F40:L40"/>
    <mergeCell ref="F41:L41"/>
    <mergeCell ref="F42:L42"/>
    <mergeCell ref="I23:J23"/>
    <mergeCell ref="I103:N103"/>
    <mergeCell ref="C58:N58"/>
    <mergeCell ref="C57:N57"/>
    <mergeCell ref="I88:N88"/>
    <mergeCell ref="C88:H88"/>
    <mergeCell ref="K60:N60"/>
    <mergeCell ref="D20:F20"/>
    <mergeCell ref="D21:F21"/>
    <mergeCell ref="K21:L21"/>
    <mergeCell ref="B1:N1"/>
    <mergeCell ref="B2:P3"/>
    <mergeCell ref="C62:J62"/>
    <mergeCell ref="I9:J9"/>
    <mergeCell ref="K9:L9"/>
    <mergeCell ref="D12:N12"/>
    <mergeCell ref="M10:N10"/>
    <mergeCell ref="G10:H10"/>
    <mergeCell ref="I10:J10"/>
    <mergeCell ref="M21:N21"/>
    <mergeCell ref="I21:J21"/>
    <mergeCell ref="G14:H14"/>
    <mergeCell ref="I14:J14"/>
    <mergeCell ref="M14:N14"/>
    <mergeCell ref="K14:L14"/>
    <mergeCell ref="K17:L17"/>
    <mergeCell ref="M18:N18"/>
    <mergeCell ref="K19:L19"/>
    <mergeCell ref="K61:N61"/>
    <mergeCell ref="K62:N62"/>
    <mergeCell ref="J151:M152"/>
    <mergeCell ref="J149:K149"/>
    <mergeCell ref="C144:H144"/>
    <mergeCell ref="C135:H136"/>
    <mergeCell ref="C137:H137"/>
    <mergeCell ref="C138:H138"/>
    <mergeCell ref="D17:F17"/>
    <mergeCell ref="D18:F18"/>
    <mergeCell ref="G17:H17"/>
    <mergeCell ref="I17:J17"/>
    <mergeCell ref="D22:F22"/>
    <mergeCell ref="G19:H19"/>
    <mergeCell ref="G20:H20"/>
    <mergeCell ref="G21:H21"/>
    <mergeCell ref="I18:J18"/>
    <mergeCell ref="D68:N68"/>
    <mergeCell ref="D69:N69"/>
    <mergeCell ref="D70:N70"/>
    <mergeCell ref="D71:N71"/>
    <mergeCell ref="M17:N17"/>
    <mergeCell ref="G18:H18"/>
    <mergeCell ref="M23:N23"/>
    <mergeCell ref="C102:H104"/>
    <mergeCell ref="C143:H143"/>
  </mergeCells>
  <printOptions horizontalCentered="1"/>
  <pageMargins left="0.5" right="0.5" top="0.75" bottom="0.75" header="0.3" footer="0.3"/>
  <pageSetup scale="49" fitToHeight="2" orientation="portrait" r:id="rId1"/>
  <headerFooter>
    <oddFooter>&amp;A&amp;RPage &amp;P</oddFooter>
  </headerFooter>
  <rowBreaks count="1" manualBreakCount="1">
    <brk id="74" min="1"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6636E229EC00438A1F8D51EB34C81A" ma:contentTypeVersion="3" ma:contentTypeDescription="Create a new document." ma:contentTypeScope="" ma:versionID="aa2ec4bf9371417a65dcb4945343a4f4">
  <xsd:schema xmlns:xsd="http://www.w3.org/2001/XMLSchema" xmlns:xs="http://www.w3.org/2001/XMLSchema" xmlns:p="http://schemas.microsoft.com/office/2006/metadata/properties" xmlns:ns1="http://schemas.microsoft.com/sharepoint/v3" xmlns:ns2="85aa799c-9193-4f37-a1dd-d313431f33d1" targetNamespace="http://schemas.microsoft.com/office/2006/metadata/properties" ma:root="true" ma:fieldsID="2b832288f4262890fe4fa4f94d9ff3c1" ns1:_="" ns2:_="">
    <xsd:import namespace="http://schemas.microsoft.com/sharepoint/v3"/>
    <xsd:import namespace="85aa799c-9193-4f37-a1dd-d313431f33d1"/>
    <xsd:element name="properties">
      <xsd:complexType>
        <xsd:sequence>
          <xsd:element name="documentManagement">
            <xsd:complexType>
              <xsd:all>
                <xsd:element ref="ns1:PublishingStartDate" minOccurs="0"/>
                <xsd:element ref="ns1:PublishingExpirationDate"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aa799c-9193-4f37-a1dd-d313431f33d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f5f497dd-7ad7-4916-b4f6-5559c5285163}" ma:internalName="TaxCatchAll" ma:showField="CatchAllData" ma:web="85aa799c-9193-4f37-a1dd-d313431f33d1">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f5f497dd-7ad7-4916-b4f6-5559c5285163}" ma:internalName="TaxCatchAllLabel" ma:readOnly="true" ma:showField="CatchAllDataLabel" ma:web="85aa799c-9193-4f37-a1dd-d313431f33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TaxCatchAll xmlns="85aa799c-9193-4f37-a1dd-d313431f33d1"/>
  </documentManagement>
</p:properties>
</file>

<file path=customXml/itemProps1.xml><?xml version="1.0" encoding="utf-8"?>
<ds:datastoreItem xmlns:ds="http://schemas.openxmlformats.org/officeDocument/2006/customXml" ds:itemID="{BCA758AF-4226-4659-AC72-670158A437D5}">
  <ds:schemaRefs>
    <ds:schemaRef ds:uri="http://schemas.microsoft.com/sharepoint/v3/contenttype/forms"/>
  </ds:schemaRefs>
</ds:datastoreItem>
</file>

<file path=customXml/itemProps2.xml><?xml version="1.0" encoding="utf-8"?>
<ds:datastoreItem xmlns:ds="http://schemas.openxmlformats.org/officeDocument/2006/customXml" ds:itemID="{4393F25E-8CE1-4545-9C60-3230EA9B6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5aa799c-9193-4f37-a1dd-d313431f33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D773BB-4366-468D-9F2D-BCCA06A88736}">
  <ds:schemaRefs>
    <ds:schemaRef ds:uri="http://schemas.microsoft.com/office/2006/metadata/properties"/>
    <ds:schemaRef ds:uri="http://schemas.microsoft.com/office/infopath/2007/PartnerControls"/>
    <ds:schemaRef ds:uri="http://schemas.microsoft.com/sharepoint/v3"/>
    <ds:schemaRef ds:uri="85aa799c-9193-4f37-a1dd-d313431f33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252</vt:i4>
      </vt:variant>
    </vt:vector>
  </HeadingPairs>
  <TitlesOfParts>
    <vt:vector size="280" baseType="lpstr">
      <vt:lpstr>Version Changes</vt:lpstr>
      <vt:lpstr>TOOL DIRECTIONS</vt:lpstr>
      <vt:lpstr>SITE DATA</vt:lpstr>
      <vt:lpstr>DA1</vt:lpstr>
      <vt:lpstr>DA2</vt:lpstr>
      <vt:lpstr>DA3</vt:lpstr>
      <vt:lpstr>DA4</vt:lpstr>
      <vt:lpstr>DA5</vt:lpstr>
      <vt:lpstr>DA6</vt:lpstr>
      <vt:lpstr>DA7</vt:lpstr>
      <vt:lpstr>DA8</vt:lpstr>
      <vt:lpstr>DA9</vt:lpstr>
      <vt:lpstr>DA10</vt:lpstr>
      <vt:lpstr>SITE SUMMARY</vt:lpstr>
      <vt:lpstr>DA1_BMPs</vt:lpstr>
      <vt:lpstr>DA2_BMPs</vt:lpstr>
      <vt:lpstr>DA3_BMPs</vt:lpstr>
      <vt:lpstr>DA4_BMPs</vt:lpstr>
      <vt:lpstr>DA5_BMPs</vt:lpstr>
      <vt:lpstr>DA6_BMPs</vt:lpstr>
      <vt:lpstr>DA7_BMPs</vt:lpstr>
      <vt:lpstr>DA8_BMPs</vt:lpstr>
      <vt:lpstr>DA9_BMPs</vt:lpstr>
      <vt:lpstr>DA10_BMPs</vt:lpstr>
      <vt:lpstr>BMP SUMMARY</vt:lpstr>
      <vt:lpstr>LID SUMMARY</vt:lpstr>
      <vt:lpstr>DIA</vt:lpstr>
      <vt:lpstr>CALCULATIONS and TABLES</vt:lpstr>
      <vt:lpstr>DA10_BMPs!BIORETENTION</vt:lpstr>
      <vt:lpstr>DA2_BMPs!BIORETENTION</vt:lpstr>
      <vt:lpstr>DA3_BMPs!BIORETENTION</vt:lpstr>
      <vt:lpstr>DA4_BMPs!BIORETENTION</vt:lpstr>
      <vt:lpstr>DA5_BMPs!BIORETENTION</vt:lpstr>
      <vt:lpstr>DA6_BMPs!BIORETENTION</vt:lpstr>
      <vt:lpstr>DA7_BMPs!BIORETENTION</vt:lpstr>
      <vt:lpstr>DA8_BMPs!BIORETENTION</vt:lpstr>
      <vt:lpstr>DA9_BMPs!BIORETENTION</vt:lpstr>
      <vt:lpstr>BIORETENTION</vt:lpstr>
      <vt:lpstr>DA10_BMPs!BMP</vt:lpstr>
      <vt:lpstr>DA2_BMPs!BMP</vt:lpstr>
      <vt:lpstr>DA3_BMPs!BMP</vt:lpstr>
      <vt:lpstr>DA4_BMPs!BMP</vt:lpstr>
      <vt:lpstr>DA5_BMPs!BMP</vt:lpstr>
      <vt:lpstr>DA6_BMPs!BMP</vt:lpstr>
      <vt:lpstr>DA7_BMPs!BMP</vt:lpstr>
      <vt:lpstr>DA8_BMPs!BMP</vt:lpstr>
      <vt:lpstr>DA9_BMPs!BMP</vt:lpstr>
      <vt:lpstr>BMP</vt:lpstr>
      <vt:lpstr>CHANNEL</vt:lpstr>
      <vt:lpstr>DA10_BMPs!Cistern</vt:lpstr>
      <vt:lpstr>DA2_BMPs!Cistern</vt:lpstr>
      <vt:lpstr>DA3_BMPs!Cistern</vt:lpstr>
      <vt:lpstr>DA4_BMPs!Cistern</vt:lpstr>
      <vt:lpstr>DA5_BMPs!Cistern</vt:lpstr>
      <vt:lpstr>DA6_BMPs!Cistern</vt:lpstr>
      <vt:lpstr>DA7_BMPs!Cistern</vt:lpstr>
      <vt:lpstr>DA8_BMPs!Cistern</vt:lpstr>
      <vt:lpstr>DA9_BMPs!Cistern</vt:lpstr>
      <vt:lpstr>Cistern</vt:lpstr>
      <vt:lpstr>DA10_BMPs!CN</vt:lpstr>
      <vt:lpstr>DA2_BMPs!CN</vt:lpstr>
      <vt:lpstr>DA3_BMPs!CN</vt:lpstr>
      <vt:lpstr>DA4_BMPs!CN</vt:lpstr>
      <vt:lpstr>DA5_BMPs!CN</vt:lpstr>
      <vt:lpstr>DA6_BMPs!CN</vt:lpstr>
      <vt:lpstr>DA7_BMPs!CN</vt:lpstr>
      <vt:lpstr>DA8_BMPs!CN</vt:lpstr>
      <vt:lpstr>DA9_BMPs!CN</vt:lpstr>
      <vt:lpstr>CN</vt:lpstr>
      <vt:lpstr>DA10_BMPs!CN10YR</vt:lpstr>
      <vt:lpstr>DA2_BMPs!CN10YR</vt:lpstr>
      <vt:lpstr>DA3_BMPs!CN10YR</vt:lpstr>
      <vt:lpstr>DA4_BMPs!CN10YR</vt:lpstr>
      <vt:lpstr>DA5_BMPs!CN10YR</vt:lpstr>
      <vt:lpstr>DA6_BMPs!CN10YR</vt:lpstr>
      <vt:lpstr>DA7_BMPs!CN10YR</vt:lpstr>
      <vt:lpstr>DA8_BMPs!CN10YR</vt:lpstr>
      <vt:lpstr>DA9_BMPs!CN10YR</vt:lpstr>
      <vt:lpstr>CN10YR</vt:lpstr>
      <vt:lpstr>DA10_BMPs!CN2YR</vt:lpstr>
      <vt:lpstr>DA2_BMPs!CN2YR</vt:lpstr>
      <vt:lpstr>DA3_BMPs!CN2YR</vt:lpstr>
      <vt:lpstr>DA4_BMPs!CN2YR</vt:lpstr>
      <vt:lpstr>DA5_BMPs!CN2YR</vt:lpstr>
      <vt:lpstr>DA6_BMPs!CN2YR</vt:lpstr>
      <vt:lpstr>DA7_BMPs!CN2YR</vt:lpstr>
      <vt:lpstr>DA8_BMPs!CN2YR</vt:lpstr>
      <vt:lpstr>DA9_BMPs!CN2YR</vt:lpstr>
      <vt:lpstr>CN2YR</vt:lpstr>
      <vt:lpstr>DA10_BMPs!DED_BASIN</vt:lpstr>
      <vt:lpstr>DA2_BMPs!DED_BASIN</vt:lpstr>
      <vt:lpstr>DA3_BMPs!DED_BASIN</vt:lpstr>
      <vt:lpstr>DA4_BMPs!DED_BASIN</vt:lpstr>
      <vt:lpstr>DA5_BMPs!DED_BASIN</vt:lpstr>
      <vt:lpstr>DA6_BMPs!DED_BASIN</vt:lpstr>
      <vt:lpstr>DA7_BMPs!DED_BASIN</vt:lpstr>
      <vt:lpstr>DA8_BMPs!DED_BASIN</vt:lpstr>
      <vt:lpstr>DA9_BMPs!DED_BASIN</vt:lpstr>
      <vt:lpstr>DED_BASIN</vt:lpstr>
      <vt:lpstr>DA10_BMPs!DIA</vt:lpstr>
      <vt:lpstr>DA2_BMPs!DIA</vt:lpstr>
      <vt:lpstr>DA3_BMPs!DIA</vt:lpstr>
      <vt:lpstr>DA4_BMPs!DIA</vt:lpstr>
      <vt:lpstr>DA5_BMPs!DIA</vt:lpstr>
      <vt:lpstr>DA6_BMPs!DIA</vt:lpstr>
      <vt:lpstr>DA7_BMPs!DIA</vt:lpstr>
      <vt:lpstr>DA8_BMPs!DIA</vt:lpstr>
      <vt:lpstr>DA9_BMPs!DIA</vt:lpstr>
      <vt:lpstr>DIA</vt:lpstr>
      <vt:lpstr>Disconnected</vt:lpstr>
      <vt:lpstr>Discrete</vt:lpstr>
      <vt:lpstr>DA10_BMPs!F_STRIP</vt:lpstr>
      <vt:lpstr>DA2_BMPs!F_STRIP</vt:lpstr>
      <vt:lpstr>DA3_BMPs!F_STRIP</vt:lpstr>
      <vt:lpstr>DA4_BMPs!F_STRIP</vt:lpstr>
      <vt:lpstr>DA5_BMPs!F_STRIP</vt:lpstr>
      <vt:lpstr>DA6_BMPs!F_STRIP</vt:lpstr>
      <vt:lpstr>DA7_BMPs!F_STRIP</vt:lpstr>
      <vt:lpstr>DA8_BMPs!F_STRIP</vt:lpstr>
      <vt:lpstr>DA9_BMPs!F_STRIP</vt:lpstr>
      <vt:lpstr>F_STRIP</vt:lpstr>
      <vt:lpstr>DA10_BMPs!G_SWALE</vt:lpstr>
      <vt:lpstr>DA2_BMPs!G_SWALE</vt:lpstr>
      <vt:lpstr>DA3_BMPs!G_SWALE</vt:lpstr>
      <vt:lpstr>DA4_BMPs!G_SWALE</vt:lpstr>
      <vt:lpstr>DA5_BMPs!G_SWALE</vt:lpstr>
      <vt:lpstr>DA6_BMPs!G_SWALE</vt:lpstr>
      <vt:lpstr>DA7_BMPs!G_SWALE</vt:lpstr>
      <vt:lpstr>DA8_BMPs!G_SWALE</vt:lpstr>
      <vt:lpstr>DA9_BMPs!G_SWALE</vt:lpstr>
      <vt:lpstr>G_SWALE</vt:lpstr>
      <vt:lpstr>hd</vt:lpstr>
      <vt:lpstr>DA10_BMPs!I_DEVICE</vt:lpstr>
      <vt:lpstr>DA2_BMPs!I_DEVICE</vt:lpstr>
      <vt:lpstr>DA3_BMPs!I_DEVICE</vt:lpstr>
      <vt:lpstr>DA4_BMPs!I_DEVICE</vt:lpstr>
      <vt:lpstr>DA5_BMPs!I_DEVICE</vt:lpstr>
      <vt:lpstr>DA6_BMPs!I_DEVICE</vt:lpstr>
      <vt:lpstr>DA7_BMPs!I_DEVICE</vt:lpstr>
      <vt:lpstr>DA8_BMPs!I_DEVICE</vt:lpstr>
      <vt:lpstr>DA9_BMPs!I_DEVICE</vt:lpstr>
      <vt:lpstr>I_DEVICE</vt:lpstr>
      <vt:lpstr>DA10_BMPs!LID</vt:lpstr>
      <vt:lpstr>DA2_BMPs!LID</vt:lpstr>
      <vt:lpstr>DA3_BMPs!LID</vt:lpstr>
      <vt:lpstr>DA4_BMPs!LID</vt:lpstr>
      <vt:lpstr>DA5_BMPs!LID</vt:lpstr>
      <vt:lpstr>DA6_BMPs!LID</vt:lpstr>
      <vt:lpstr>DA7_BMPs!LID</vt:lpstr>
      <vt:lpstr>DA8_BMPs!LID</vt:lpstr>
      <vt:lpstr>DA9_BMPs!LID</vt:lpstr>
      <vt:lpstr>LID</vt:lpstr>
      <vt:lpstr>N_lb</vt:lpstr>
      <vt:lpstr>DA10_BMPs!Other</vt:lpstr>
      <vt:lpstr>DA2_BMPs!Other</vt:lpstr>
      <vt:lpstr>DA3_BMPs!Other</vt:lpstr>
      <vt:lpstr>DA4_BMPs!Other</vt:lpstr>
      <vt:lpstr>DA5_BMPs!Other</vt:lpstr>
      <vt:lpstr>DA6_BMPs!Other</vt:lpstr>
      <vt:lpstr>DA7_BMPs!Other</vt:lpstr>
      <vt:lpstr>DA8_BMPs!Other</vt:lpstr>
      <vt:lpstr>DA9_BMPs!Other</vt:lpstr>
      <vt:lpstr>Other</vt:lpstr>
      <vt:lpstr>DA10_BMPs!P_PAVEMENT</vt:lpstr>
      <vt:lpstr>DA2_BMPs!P_PAVEMENT</vt:lpstr>
      <vt:lpstr>DA3_BMPs!P_PAVEMENT</vt:lpstr>
      <vt:lpstr>DA4_BMPs!P_PAVEMENT</vt:lpstr>
      <vt:lpstr>DA5_BMPs!P_PAVEMENT</vt:lpstr>
      <vt:lpstr>DA6_BMPs!P_PAVEMENT</vt:lpstr>
      <vt:lpstr>DA7_BMPs!P_PAVEMENT</vt:lpstr>
      <vt:lpstr>DA8_BMPs!P_PAVEMENT</vt:lpstr>
      <vt:lpstr>DA9_BMPs!P_PAVEMENT</vt:lpstr>
      <vt:lpstr>P_PAVEMENT</vt:lpstr>
      <vt:lpstr>PEAK</vt:lpstr>
      <vt:lpstr>PPT</vt:lpstr>
      <vt:lpstr>'BMP SUMMARY'!Print_Area</vt:lpstr>
      <vt:lpstr>'CALCULATIONS and TABLES'!Print_Area</vt:lpstr>
      <vt:lpstr>'DA1'!Print_Area</vt:lpstr>
      <vt:lpstr>DA1_BMPs!Print_Area</vt:lpstr>
      <vt:lpstr>'DA10'!Print_Area</vt:lpstr>
      <vt:lpstr>DA10_BMPs!Print_Area</vt:lpstr>
      <vt:lpstr>'DA2'!Print_Area</vt:lpstr>
      <vt:lpstr>DA2_BMPs!Print_Area</vt:lpstr>
      <vt:lpstr>'DA3'!Print_Area</vt:lpstr>
      <vt:lpstr>DA3_BMPs!Print_Area</vt:lpstr>
      <vt:lpstr>'DA4'!Print_Area</vt:lpstr>
      <vt:lpstr>DA4_BMPs!Print_Area</vt:lpstr>
      <vt:lpstr>'DA5'!Print_Area</vt:lpstr>
      <vt:lpstr>DA5_BMPs!Print_Area</vt:lpstr>
      <vt:lpstr>'DA6'!Print_Area</vt:lpstr>
      <vt:lpstr>DA6_BMPs!Print_Area</vt:lpstr>
      <vt:lpstr>'DA7'!Print_Area</vt:lpstr>
      <vt:lpstr>DA7_BMPs!Print_Area</vt:lpstr>
      <vt:lpstr>'DA8'!Print_Area</vt:lpstr>
      <vt:lpstr>DA8_BMPs!Print_Area</vt:lpstr>
      <vt:lpstr>'DA9'!Print_Area</vt:lpstr>
      <vt:lpstr>DA9_BMPs!Print_Area</vt:lpstr>
      <vt:lpstr>DIA!Print_Area</vt:lpstr>
      <vt:lpstr>'LID SUMMARY'!Print_Area</vt:lpstr>
      <vt:lpstr>'SITE DATA'!Print_Area</vt:lpstr>
      <vt:lpstr>'SITE SUMMARY'!Print_Area</vt:lpstr>
      <vt:lpstr>'TOOL DIRECTIONS'!Print_Area</vt:lpstr>
      <vt:lpstr>'DA1'!Print_Titles</vt:lpstr>
      <vt:lpstr>DA1_BMPs!Print_Titles</vt:lpstr>
      <vt:lpstr>'DA10'!Print_Titles</vt:lpstr>
      <vt:lpstr>DA10_BMPs!Print_Titles</vt:lpstr>
      <vt:lpstr>'DA2'!Print_Titles</vt:lpstr>
      <vt:lpstr>DA2_BMPs!Print_Titles</vt:lpstr>
      <vt:lpstr>'DA3'!Print_Titles</vt:lpstr>
      <vt:lpstr>DA3_BMPs!Print_Titles</vt:lpstr>
      <vt:lpstr>'DA4'!Print_Titles</vt:lpstr>
      <vt:lpstr>DA4_BMPs!Print_Titles</vt:lpstr>
      <vt:lpstr>'DA5'!Print_Titles</vt:lpstr>
      <vt:lpstr>DA5_BMPs!Print_Titles</vt:lpstr>
      <vt:lpstr>'DA6'!Print_Titles</vt:lpstr>
      <vt:lpstr>DA6_BMPs!Print_Titles</vt:lpstr>
      <vt:lpstr>'DA7'!Print_Titles</vt:lpstr>
      <vt:lpstr>DA7_BMPs!Print_Titles</vt:lpstr>
      <vt:lpstr>'DA8'!Print_Titles</vt:lpstr>
      <vt:lpstr>DA8_BMPs!Print_Titles</vt:lpstr>
      <vt:lpstr>'DA9'!Print_Titles</vt:lpstr>
      <vt:lpstr>DA9_BMPs!Print_Titles</vt:lpstr>
      <vt:lpstr>'SITE SUMMARY'!Print_Titles</vt:lpstr>
      <vt:lpstr>DA10_BMPs!ROOFTOP</vt:lpstr>
      <vt:lpstr>DA2_BMPs!ROOFTOP</vt:lpstr>
      <vt:lpstr>DA3_BMPs!ROOFTOP</vt:lpstr>
      <vt:lpstr>DA4_BMPs!ROOFTOP</vt:lpstr>
      <vt:lpstr>DA5_BMPs!ROOFTOP</vt:lpstr>
      <vt:lpstr>DA6_BMPs!ROOFTOP</vt:lpstr>
      <vt:lpstr>DA7_BMPs!ROOFTOP</vt:lpstr>
      <vt:lpstr>DA8_BMPs!ROOFTOP</vt:lpstr>
      <vt:lpstr>DA9_BMPs!ROOFTOP</vt:lpstr>
      <vt:lpstr>ROOFTOP</vt:lpstr>
      <vt:lpstr>DA10_BMPs!RR_BUFFER</vt:lpstr>
      <vt:lpstr>DA2_BMPs!RR_BUFFER</vt:lpstr>
      <vt:lpstr>DA3_BMPs!RR_BUFFER</vt:lpstr>
      <vt:lpstr>DA4_BMPs!RR_BUFFER</vt:lpstr>
      <vt:lpstr>DA5_BMPs!RR_BUFFER</vt:lpstr>
      <vt:lpstr>DA6_BMPs!RR_BUFFER</vt:lpstr>
      <vt:lpstr>DA7_BMPs!RR_BUFFER</vt:lpstr>
      <vt:lpstr>DA8_BMPs!RR_BUFFER</vt:lpstr>
      <vt:lpstr>DA9_BMPs!RR_BUFFER</vt:lpstr>
      <vt:lpstr>RR_BUFFER</vt:lpstr>
      <vt:lpstr>DA10_BMPs!S_FILTER</vt:lpstr>
      <vt:lpstr>DA2_BMPs!S_FILTER</vt:lpstr>
      <vt:lpstr>DA3_BMPs!S_FILTER</vt:lpstr>
      <vt:lpstr>DA4_BMPs!S_FILTER</vt:lpstr>
      <vt:lpstr>DA5_BMPs!S_FILTER</vt:lpstr>
      <vt:lpstr>DA6_BMPs!S_FILTER</vt:lpstr>
      <vt:lpstr>DA7_BMPs!S_FILTER</vt:lpstr>
      <vt:lpstr>DA8_BMPs!S_FILTER</vt:lpstr>
      <vt:lpstr>DA9_BMPs!S_FILTER</vt:lpstr>
      <vt:lpstr>S_FILTER</vt:lpstr>
      <vt:lpstr>SCS</vt:lpstr>
      <vt:lpstr>SHALLOW</vt:lpstr>
      <vt:lpstr>SHEET</vt:lpstr>
      <vt:lpstr>DA10_BMPs!SW_WETLANDS</vt:lpstr>
      <vt:lpstr>DA2_BMPs!SW_WETLANDS</vt:lpstr>
      <vt:lpstr>DA3_BMPs!SW_WETLANDS</vt:lpstr>
      <vt:lpstr>DA4_BMPs!SW_WETLANDS</vt:lpstr>
      <vt:lpstr>DA5_BMPs!SW_WETLANDS</vt:lpstr>
      <vt:lpstr>DA6_BMPs!SW_WETLANDS</vt:lpstr>
      <vt:lpstr>DA7_BMPs!SW_WETLANDS</vt:lpstr>
      <vt:lpstr>DA8_BMPs!SW_WETLANDS</vt:lpstr>
      <vt:lpstr>DA9_BMPs!SW_WETLANDS</vt:lpstr>
      <vt:lpstr>SW_WETLANDS</vt:lpstr>
      <vt:lpstr>Tc</vt:lpstr>
      <vt:lpstr>TCN</vt:lpstr>
      <vt:lpstr>WCN</vt:lpstr>
      <vt:lpstr>DA10_BMPs!WD_POND</vt:lpstr>
      <vt:lpstr>DA2_BMPs!WD_POND</vt:lpstr>
      <vt:lpstr>DA3_BMPs!WD_POND</vt:lpstr>
      <vt:lpstr>DA4_BMPs!WD_POND</vt:lpstr>
      <vt:lpstr>DA5_BMPs!WD_POND</vt:lpstr>
      <vt:lpstr>DA6_BMPs!WD_POND</vt:lpstr>
      <vt:lpstr>DA7_BMPs!WD_POND</vt:lpstr>
      <vt:lpstr>DA8_BMPs!WD_POND</vt:lpstr>
      <vt:lpstr>DA9_BMPs!WD_POND</vt:lpstr>
      <vt:lpstr>WD_POND</vt:lpstr>
      <vt:lpstr>yes</vt:lpstr>
    </vt:vector>
  </TitlesOfParts>
  <Company>Wake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jsjaardema</dc:creator>
  <cp:lastModifiedBy>BRBlackburn</cp:lastModifiedBy>
  <cp:lastPrinted>2020-08-11T19:50:35Z</cp:lastPrinted>
  <dcterms:created xsi:type="dcterms:W3CDTF">2009-06-19T20:47:08Z</dcterms:created>
  <dcterms:modified xsi:type="dcterms:W3CDTF">2021-02-26T19:30:50Z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0x010100306636E229EC00438A1F8D51EB34C81A</vt:lpwstr>
  </property>
</Properties>
</file>